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file-02\StaffData$\swinjum\My Documents\Board Meeting\"/>
    </mc:Choice>
  </mc:AlternateContent>
  <bookViews>
    <workbookView xWindow="0" yWindow="0" windowWidth="24000" windowHeight="9735" firstSheet="12" activeTab="16"/>
  </bookViews>
  <sheets>
    <sheet name="July" sheetId="1" r:id="rId1"/>
    <sheet name="Aug" sheetId="2" r:id="rId2"/>
    <sheet name="Sep" sheetId="5" r:id="rId3"/>
    <sheet name="Oct" sheetId="4" r:id="rId4"/>
    <sheet name="Nov" sheetId="6" r:id="rId5"/>
    <sheet name="Dec" sheetId="13" r:id="rId6"/>
    <sheet name="Jan" sheetId="14" r:id="rId7"/>
    <sheet name="Feb" sheetId="15" r:id="rId8"/>
    <sheet name="Mar" sheetId="20" r:id="rId9"/>
    <sheet name="Apr" sheetId="17" r:id="rId10"/>
    <sheet name="May" sheetId="21" r:id="rId11"/>
    <sheet name="June" sheetId="22" r:id="rId12"/>
    <sheet name="July 2016" sheetId="24" r:id="rId13"/>
    <sheet name="August 2016" sheetId="23" r:id="rId14"/>
    <sheet name="Sept 2016" sheetId="25" r:id="rId15"/>
    <sheet name="Oct 2016 " sheetId="26" r:id="rId16"/>
    <sheet name="Nov 2016  " sheetId="27" r:id="rId17"/>
  </sheets>
  <definedNames>
    <definedName name="_ZZ5">Aug!$M$78</definedName>
    <definedName name="APRIL" localSheetId="1">Aug!#REF!</definedName>
    <definedName name="APRIL" localSheetId="12">July!#REF!</definedName>
    <definedName name="APRIL" localSheetId="11">July!#REF!</definedName>
    <definedName name="APRIL" localSheetId="8">July!#REF!</definedName>
    <definedName name="APRIL" localSheetId="10">July!#REF!</definedName>
    <definedName name="APRIL" localSheetId="16">July!#REF!</definedName>
    <definedName name="APRIL" localSheetId="15">July!#REF!</definedName>
    <definedName name="APRIL" localSheetId="14">July!#REF!</definedName>
    <definedName name="APRIL">July!#REF!</definedName>
    <definedName name="FEBRUARY" localSheetId="1">Aug!#REF!</definedName>
    <definedName name="FEBRUARY" localSheetId="12">July!#REF!</definedName>
    <definedName name="FEBRUARY" localSheetId="11">July!#REF!</definedName>
    <definedName name="FEBRUARY" localSheetId="8">July!#REF!</definedName>
    <definedName name="FEBRUARY" localSheetId="10">July!#REF!</definedName>
    <definedName name="FEBRUARY" localSheetId="16">July!#REF!</definedName>
    <definedName name="FEBRUARY" localSheetId="15">July!#REF!</definedName>
    <definedName name="FEBRUARY" localSheetId="14">July!#REF!</definedName>
    <definedName name="FEBRUARY">July!#REF!</definedName>
    <definedName name="MARCH" localSheetId="1">Aug!#REF!</definedName>
    <definedName name="MARCH" localSheetId="12">July!#REF!</definedName>
    <definedName name="MARCH" localSheetId="11">July!#REF!</definedName>
    <definedName name="MARCH" localSheetId="8">July!#REF!</definedName>
    <definedName name="MARCH" localSheetId="10">July!#REF!</definedName>
    <definedName name="MARCH" localSheetId="16">July!#REF!</definedName>
    <definedName name="MARCH" localSheetId="15">July!#REF!</definedName>
    <definedName name="MARCH" localSheetId="14">July!#REF!</definedName>
    <definedName name="MARCH">July!#REF!</definedName>
    <definedName name="MAY" localSheetId="1">Aug!#REF!</definedName>
    <definedName name="MAY" localSheetId="12">July!#REF!</definedName>
    <definedName name="MAY" localSheetId="11">July!#REF!</definedName>
    <definedName name="MAY" localSheetId="8">July!#REF!</definedName>
    <definedName name="MAY" localSheetId="10">July!#REF!</definedName>
    <definedName name="MAY" localSheetId="16">July!#REF!</definedName>
    <definedName name="MAY" localSheetId="15">July!#REF!</definedName>
    <definedName name="MAY" localSheetId="14">July!#REF!</definedName>
    <definedName name="MAY">July!#REF!</definedName>
    <definedName name="_xlnm.Print_Area" localSheetId="0">July!$A$1:$H$67</definedName>
    <definedName name="Print_Area_MI" localSheetId="1">Aug!#REF!</definedName>
    <definedName name="Print_Area_MI" localSheetId="12">July!#REF!</definedName>
    <definedName name="Print_Area_MI" localSheetId="11">July!#REF!</definedName>
    <definedName name="Print_Area_MI" localSheetId="8">July!#REF!</definedName>
    <definedName name="Print_Area_MI" localSheetId="10">July!#REF!</definedName>
    <definedName name="Print_Area_MI" localSheetId="16">July!#REF!</definedName>
    <definedName name="Print_Area_MI" localSheetId="15">July!#REF!</definedName>
    <definedName name="Print_Area_MI" localSheetId="14">July!#REF!</definedName>
    <definedName name="Print_Area_MI">July!#REF!</definedName>
  </definedNames>
  <calcPr calcId="152511"/>
</workbook>
</file>

<file path=xl/calcChain.xml><?xml version="1.0" encoding="utf-8"?>
<calcChain xmlns="http://schemas.openxmlformats.org/spreadsheetml/2006/main">
  <c r="E12" i="27" l="1"/>
  <c r="G12" i="26"/>
  <c r="E48" i="27"/>
  <c r="E44" i="27"/>
  <c r="E40" i="27"/>
  <c r="E36" i="27"/>
  <c r="E32" i="27"/>
  <c r="E28" i="27"/>
  <c r="E24" i="27"/>
  <c r="E20" i="27"/>
  <c r="E16" i="27"/>
  <c r="E39" i="27"/>
  <c r="E31" i="27"/>
  <c r="E27" i="27"/>
  <c r="E23" i="27"/>
  <c r="E19" i="27"/>
  <c r="E15" i="27"/>
  <c r="E11" i="27"/>
  <c r="C83" i="27" l="1"/>
  <c r="C78" i="27"/>
  <c r="B83" i="27"/>
  <c r="B78" i="27"/>
  <c r="G72" i="27"/>
  <c r="D52" i="27"/>
  <c r="C52" i="27"/>
  <c r="B52" i="27"/>
  <c r="D51" i="27"/>
  <c r="C51" i="27"/>
  <c r="B51" i="27"/>
  <c r="H48" i="27"/>
  <c r="E47" i="27"/>
  <c r="H47" i="27" s="1"/>
  <c r="H44" i="27"/>
  <c r="G44" i="27"/>
  <c r="G40" i="27"/>
  <c r="H39" i="27"/>
  <c r="G36" i="27"/>
  <c r="H35" i="27"/>
  <c r="G35" i="27"/>
  <c r="E35" i="27"/>
  <c r="G32" i="27"/>
  <c r="H31" i="27"/>
  <c r="H28" i="27"/>
  <c r="G28" i="27"/>
  <c r="H27" i="27"/>
  <c r="G27" i="27"/>
  <c r="H24" i="27"/>
  <c r="H23" i="27"/>
  <c r="G20" i="27"/>
  <c r="H19" i="27"/>
  <c r="H16" i="27"/>
  <c r="H15" i="27"/>
  <c r="H36" i="27" l="1"/>
  <c r="H20" i="27"/>
  <c r="G19" i="27"/>
  <c r="H11" i="27"/>
  <c r="G11" i="27"/>
  <c r="G16" i="27"/>
  <c r="G24" i="27"/>
  <c r="G48" i="27"/>
  <c r="G15" i="27"/>
  <c r="G23" i="27"/>
  <c r="G31" i="27"/>
  <c r="H32" i="27"/>
  <c r="G39" i="27"/>
  <c r="H40" i="27"/>
  <c r="G47" i="27"/>
  <c r="E47" i="26"/>
  <c r="C83" i="26" l="1"/>
  <c r="C78" i="26"/>
  <c r="E44" i="26"/>
  <c r="G44" i="26" s="1"/>
  <c r="E48" i="26"/>
  <c r="H48" i="26" s="1"/>
  <c r="E40" i="26"/>
  <c r="H40" i="26" s="1"/>
  <c r="E36" i="26"/>
  <c r="H36" i="26" s="1"/>
  <c r="E32" i="26"/>
  <c r="H32" i="26" s="1"/>
  <c r="E28" i="26"/>
  <c r="H28" i="26" s="1"/>
  <c r="E24" i="26"/>
  <c r="H24" i="26" s="1"/>
  <c r="E20" i="26"/>
  <c r="G20" i="26" s="1"/>
  <c r="E16" i="26"/>
  <c r="H16" i="26" s="1"/>
  <c r="E43" i="26"/>
  <c r="E39" i="26"/>
  <c r="E27" i="26"/>
  <c r="G27" i="26" s="1"/>
  <c r="E23" i="26"/>
  <c r="G23" i="26" s="1"/>
  <c r="E19" i="26"/>
  <c r="G19" i="26" s="1"/>
  <c r="E15" i="26"/>
  <c r="G15" i="26" s="1"/>
  <c r="E11" i="26"/>
  <c r="B83" i="26"/>
  <c r="B78" i="26"/>
  <c r="G72" i="26"/>
  <c r="D52" i="26"/>
  <c r="C52" i="26"/>
  <c r="B52" i="26"/>
  <c r="D51" i="26"/>
  <c r="C51" i="26"/>
  <c r="B51" i="26"/>
  <c r="H47" i="26"/>
  <c r="H39" i="26"/>
  <c r="G35" i="26"/>
  <c r="E35" i="26"/>
  <c r="H35" i="26" s="1"/>
  <c r="E31" i="26"/>
  <c r="H31" i="26" s="1"/>
  <c r="H43" i="26" l="1"/>
  <c r="E43" i="27"/>
  <c r="H44" i="26"/>
  <c r="G36" i="26"/>
  <c r="G28" i="26"/>
  <c r="H20" i="26"/>
  <c r="G43" i="26"/>
  <c r="H27" i="26"/>
  <c r="H23" i="26"/>
  <c r="H15" i="26"/>
  <c r="E51" i="26"/>
  <c r="H51" i="26" s="1"/>
  <c r="H11" i="26"/>
  <c r="G16" i="26"/>
  <c r="H19" i="26"/>
  <c r="G24" i="26"/>
  <c r="G32" i="26"/>
  <c r="G40" i="26"/>
  <c r="G48" i="26"/>
  <c r="G11" i="26"/>
  <c r="G51" i="26" s="1"/>
  <c r="G31" i="26"/>
  <c r="G39" i="26"/>
  <c r="G47" i="26"/>
  <c r="C83" i="25"/>
  <c r="C78" i="25"/>
  <c r="E48" i="25"/>
  <c r="H48" i="25" s="1"/>
  <c r="E44" i="25"/>
  <c r="H44" i="25" s="1"/>
  <c r="E40" i="25"/>
  <c r="H40" i="25" s="1"/>
  <c r="E36" i="25"/>
  <c r="G36" i="25" s="1"/>
  <c r="E32" i="25"/>
  <c r="H32" i="25" s="1"/>
  <c r="E28" i="25"/>
  <c r="H28" i="25" s="1"/>
  <c r="E24" i="25"/>
  <c r="H24" i="25" s="1"/>
  <c r="E20" i="25"/>
  <c r="G20" i="25" s="1"/>
  <c r="E16" i="25"/>
  <c r="H16" i="25" s="1"/>
  <c r="E47" i="25"/>
  <c r="H47" i="25" s="1"/>
  <c r="E43" i="25"/>
  <c r="H43" i="25" s="1"/>
  <c r="E39" i="25"/>
  <c r="H39" i="25" s="1"/>
  <c r="E31" i="25"/>
  <c r="H31" i="25" s="1"/>
  <c r="E27" i="25"/>
  <c r="H27" i="25" s="1"/>
  <c r="E23" i="25"/>
  <c r="G23" i="25" s="1"/>
  <c r="E19" i="25"/>
  <c r="H19" i="25" s="1"/>
  <c r="E15" i="25"/>
  <c r="G15" i="25" s="1"/>
  <c r="E11" i="25"/>
  <c r="B83" i="25"/>
  <c r="B78" i="25"/>
  <c r="G72" i="25"/>
  <c r="D52" i="25"/>
  <c r="C52" i="25"/>
  <c r="B52" i="25"/>
  <c r="D51" i="25"/>
  <c r="C51" i="25"/>
  <c r="B51" i="25"/>
  <c r="G35" i="25"/>
  <c r="E35" i="25"/>
  <c r="H35" i="25" s="1"/>
  <c r="G43" i="27" l="1"/>
  <c r="G51" i="27" s="1"/>
  <c r="E51" i="27"/>
  <c r="H51" i="27" s="1"/>
  <c r="H43" i="27"/>
  <c r="G44" i="25"/>
  <c r="H36" i="25"/>
  <c r="G28" i="25"/>
  <c r="H20" i="25"/>
  <c r="G43" i="25"/>
  <c r="G27" i="25"/>
  <c r="H23" i="25"/>
  <c r="H15" i="25"/>
  <c r="E51" i="25"/>
  <c r="H51" i="25" s="1"/>
  <c r="H11" i="25"/>
  <c r="G16" i="25"/>
  <c r="G24" i="25"/>
  <c r="G32" i="25"/>
  <c r="G40" i="25"/>
  <c r="G48" i="25"/>
  <c r="G11" i="25"/>
  <c r="G19" i="25"/>
  <c r="G31" i="25"/>
  <c r="G39" i="25"/>
  <c r="G47" i="25"/>
  <c r="B78" i="23"/>
  <c r="C83" i="23"/>
  <c r="C78" i="23"/>
  <c r="E40" i="23"/>
  <c r="H40" i="23" s="1"/>
  <c r="E32" i="23"/>
  <c r="H32" i="23" s="1"/>
  <c r="E28" i="23"/>
  <c r="G28" i="23" s="1"/>
  <c r="E24" i="23"/>
  <c r="H24" i="23" s="1"/>
  <c r="E20" i="23"/>
  <c r="G20" i="23" s="1"/>
  <c r="E16" i="23"/>
  <c r="G16" i="23" s="1"/>
  <c r="E12" i="23"/>
  <c r="E19" i="23"/>
  <c r="H19" i="23" s="1"/>
  <c r="E47" i="23"/>
  <c r="H47" i="23" s="1"/>
  <c r="E43" i="23"/>
  <c r="H43" i="23" s="1"/>
  <c r="E39" i="23"/>
  <c r="H39" i="23" s="1"/>
  <c r="E35" i="23"/>
  <c r="H35" i="23" s="1"/>
  <c r="E31" i="23"/>
  <c r="H31" i="23" s="1"/>
  <c r="E27" i="23"/>
  <c r="H27" i="23" s="1"/>
  <c r="E23" i="23"/>
  <c r="H23" i="23" s="1"/>
  <c r="E11" i="23"/>
  <c r="B83" i="23"/>
  <c r="G72" i="23"/>
  <c r="D52" i="23"/>
  <c r="C52" i="23"/>
  <c r="B52" i="23"/>
  <c r="D51" i="23"/>
  <c r="C51" i="23"/>
  <c r="B51" i="23"/>
  <c r="E48" i="23"/>
  <c r="H48" i="23" s="1"/>
  <c r="H44" i="23"/>
  <c r="E44" i="23"/>
  <c r="G44" i="23" s="1"/>
  <c r="H36" i="23"/>
  <c r="E36" i="23"/>
  <c r="G36" i="23" s="1"/>
  <c r="E15" i="23"/>
  <c r="H15" i="23" s="1"/>
  <c r="G12" i="23" l="1"/>
  <c r="E12" i="25"/>
  <c r="G51" i="25"/>
  <c r="H28" i="23"/>
  <c r="H20" i="23"/>
  <c r="H12" i="23"/>
  <c r="G35" i="23"/>
  <c r="G43" i="23"/>
  <c r="G27" i="23"/>
  <c r="G19" i="23"/>
  <c r="E51" i="23"/>
  <c r="H51" i="23" s="1"/>
  <c r="H11" i="23"/>
  <c r="G11" i="23"/>
  <c r="E52" i="23"/>
  <c r="H52" i="23" s="1"/>
  <c r="G24" i="23"/>
  <c r="G32" i="23"/>
  <c r="G40" i="23"/>
  <c r="G48" i="23"/>
  <c r="G15" i="23"/>
  <c r="H16" i="23"/>
  <c r="G23" i="23"/>
  <c r="G31" i="23"/>
  <c r="G39" i="23"/>
  <c r="G47" i="23"/>
  <c r="C83" i="24"/>
  <c r="C78" i="24"/>
  <c r="B83" i="24"/>
  <c r="B78" i="24"/>
  <c r="G72" i="24"/>
  <c r="E48" i="24"/>
  <c r="H48" i="24"/>
  <c r="E44" i="24"/>
  <c r="H44" i="24"/>
  <c r="E40" i="24"/>
  <c r="E36" i="24"/>
  <c r="G36" i="24"/>
  <c r="E32" i="24"/>
  <c r="H32" i="24"/>
  <c r="E28" i="24"/>
  <c r="E24" i="24"/>
  <c r="E20" i="24"/>
  <c r="H20" i="24"/>
  <c r="E16" i="24"/>
  <c r="E12" i="24"/>
  <c r="D52" i="24"/>
  <c r="E47" i="24"/>
  <c r="H47" i="24" s="1"/>
  <c r="E43" i="24"/>
  <c r="E39" i="24"/>
  <c r="E35" i="24"/>
  <c r="H35" i="24"/>
  <c r="E31" i="24"/>
  <c r="E27" i="24"/>
  <c r="H27" i="24" s="1"/>
  <c r="E23" i="24"/>
  <c r="E19" i="24"/>
  <c r="H19" i="24"/>
  <c r="E15" i="24"/>
  <c r="H15" i="24"/>
  <c r="E11" i="24"/>
  <c r="C52" i="24"/>
  <c r="B52" i="24"/>
  <c r="D51" i="24"/>
  <c r="C51" i="24"/>
  <c r="B51" i="24"/>
  <c r="G44" i="24"/>
  <c r="G43" i="24"/>
  <c r="H40" i="24"/>
  <c r="H39" i="24"/>
  <c r="H31" i="24"/>
  <c r="H28" i="24"/>
  <c r="G28" i="24"/>
  <c r="H24" i="24"/>
  <c r="H23" i="24"/>
  <c r="C83" i="22"/>
  <c r="C78" i="22"/>
  <c r="B83" i="22"/>
  <c r="B78" i="22"/>
  <c r="E14" i="1"/>
  <c r="E14" i="2"/>
  <c r="E10" i="5"/>
  <c r="E11" i="4"/>
  <c r="E11" i="6"/>
  <c r="E14" i="13"/>
  <c r="E14" i="14"/>
  <c r="E14" i="15"/>
  <c r="E12" i="20"/>
  <c r="E14" i="17"/>
  <c r="E14" i="21"/>
  <c r="E11" i="22"/>
  <c r="C84" i="21"/>
  <c r="C79" i="21"/>
  <c r="B84" i="21"/>
  <c r="B79" i="21"/>
  <c r="E27" i="1"/>
  <c r="E27" i="2"/>
  <c r="E23" i="5"/>
  <c r="E24" i="4"/>
  <c r="E24" i="6"/>
  <c r="E27" i="13"/>
  <c r="E27" i="14"/>
  <c r="E27" i="15"/>
  <c r="E25" i="20"/>
  <c r="E27" i="17"/>
  <c r="E27" i="21"/>
  <c r="C84" i="17"/>
  <c r="C79" i="17"/>
  <c r="B84" i="17"/>
  <c r="B79" i="17"/>
  <c r="E23" i="1"/>
  <c r="E23" i="2"/>
  <c r="E19" i="5"/>
  <c r="E20" i="4"/>
  <c r="E20" i="6"/>
  <c r="E23" i="13"/>
  <c r="E23" i="14"/>
  <c r="E23" i="15"/>
  <c r="E21" i="20"/>
  <c r="E23" i="17"/>
  <c r="B81" i="20"/>
  <c r="C81" i="20"/>
  <c r="C76" i="20"/>
  <c r="B76" i="20"/>
  <c r="E43" i="1"/>
  <c r="E43" i="2"/>
  <c r="E39" i="5"/>
  <c r="E40" i="4"/>
  <c r="E40" i="6"/>
  <c r="E43" i="13"/>
  <c r="E43" i="14"/>
  <c r="E43" i="15"/>
  <c r="E41" i="20"/>
  <c r="E15" i="1"/>
  <c r="E15" i="2"/>
  <c r="E11" i="5"/>
  <c r="E12" i="4"/>
  <c r="E12" i="6"/>
  <c r="E15" i="13"/>
  <c r="E15" i="14"/>
  <c r="E15" i="15"/>
  <c r="E13" i="20"/>
  <c r="B79" i="15"/>
  <c r="C84" i="15"/>
  <c r="C79" i="15"/>
  <c r="B84" i="15"/>
  <c r="B79" i="14"/>
  <c r="C84" i="14"/>
  <c r="C79" i="14"/>
  <c r="B84" i="14"/>
  <c r="H23" i="14"/>
  <c r="H15" i="14"/>
  <c r="C84" i="13"/>
  <c r="C79" i="13"/>
  <c r="B84" i="13"/>
  <c r="B79" i="13"/>
  <c r="H23" i="13"/>
  <c r="G15" i="13"/>
  <c r="C81" i="6"/>
  <c r="C76" i="6"/>
  <c r="B81" i="6"/>
  <c r="B76" i="6"/>
  <c r="H12" i="6"/>
  <c r="H69" i="4"/>
  <c r="B81" i="4"/>
  <c r="G73" i="17"/>
  <c r="C51" i="20"/>
  <c r="G77" i="15"/>
  <c r="G77" i="14"/>
  <c r="C55" i="14"/>
  <c r="C54" i="14"/>
  <c r="G74" i="13"/>
  <c r="C54" i="13"/>
  <c r="C51" i="6"/>
  <c r="B74" i="4"/>
  <c r="C51" i="4"/>
  <c r="C50" i="5"/>
  <c r="C54" i="1"/>
  <c r="G72" i="22"/>
  <c r="C51" i="22"/>
  <c r="B51" i="22"/>
  <c r="G73" i="21"/>
  <c r="B54" i="21"/>
  <c r="C55" i="17"/>
  <c r="D55" i="17"/>
  <c r="C54" i="17"/>
  <c r="D54" i="17"/>
  <c r="B54" i="17"/>
  <c r="G67" i="20"/>
  <c r="B51" i="20"/>
  <c r="C52" i="4"/>
  <c r="D55" i="1"/>
  <c r="C54" i="21"/>
  <c r="C52" i="20"/>
  <c r="C54" i="15"/>
  <c r="C55" i="15"/>
  <c r="D54" i="2"/>
  <c r="B52" i="22"/>
  <c r="B55" i="21"/>
  <c r="B55" i="17"/>
  <c r="B55" i="15"/>
  <c r="B54" i="15"/>
  <c r="B55" i="14"/>
  <c r="B54" i="14"/>
  <c r="B55" i="13"/>
  <c r="B54" i="13"/>
  <c r="B52" i="6"/>
  <c r="B51" i="6"/>
  <c r="B52" i="4"/>
  <c r="B51" i="4"/>
  <c r="B51" i="5"/>
  <c r="B50" i="5"/>
  <c r="B55" i="2"/>
  <c r="B54" i="2"/>
  <c r="G14" i="1"/>
  <c r="B54" i="1"/>
  <c r="D55" i="21"/>
  <c r="C55" i="21"/>
  <c r="D55" i="15"/>
  <c r="D55" i="14"/>
  <c r="D55" i="13"/>
  <c r="C55" i="13"/>
  <c r="G72" i="6"/>
  <c r="D52" i="6"/>
  <c r="C52" i="6"/>
  <c r="D52" i="4"/>
  <c r="D51" i="5"/>
  <c r="C51" i="5"/>
  <c r="C54" i="2"/>
  <c r="D55" i="2"/>
  <c r="C55" i="2"/>
  <c r="C55" i="1"/>
  <c r="H27" i="1"/>
  <c r="E26" i="1"/>
  <c r="E26" i="2"/>
  <c r="B55" i="1"/>
  <c r="D52" i="22"/>
  <c r="C52" i="22"/>
  <c r="D52" i="20"/>
  <c r="B52" i="20"/>
  <c r="D51" i="20"/>
  <c r="D51" i="22"/>
  <c r="D54" i="21"/>
  <c r="D54" i="15"/>
  <c r="D54" i="14"/>
  <c r="D54" i="13"/>
  <c r="D51" i="6"/>
  <c r="D51" i="4"/>
  <c r="D50" i="5"/>
  <c r="D54" i="1"/>
  <c r="E42" i="1"/>
  <c r="G42" i="1"/>
  <c r="E42" i="2"/>
  <c r="G43" i="1"/>
  <c r="E46" i="1"/>
  <c r="H46" i="1"/>
  <c r="E47" i="1"/>
  <c r="E50" i="1"/>
  <c r="H50" i="1"/>
  <c r="E18" i="1"/>
  <c r="E18" i="2"/>
  <c r="E19" i="1"/>
  <c r="E22" i="1"/>
  <c r="E22" i="2"/>
  <c r="E30" i="1"/>
  <c r="E30" i="2"/>
  <c r="E31" i="1"/>
  <c r="E31" i="2"/>
  <c r="E34" i="1"/>
  <c r="G34" i="1"/>
  <c r="E35" i="1"/>
  <c r="G35" i="1"/>
  <c r="E35" i="2"/>
  <c r="E38" i="1"/>
  <c r="E38" i="2"/>
  <c r="E39" i="1"/>
  <c r="E51" i="1"/>
  <c r="E51" i="2"/>
  <c r="H51" i="1"/>
  <c r="G47" i="1"/>
  <c r="H26" i="1"/>
  <c r="H42" i="1"/>
  <c r="G30" i="1"/>
  <c r="H14" i="1"/>
  <c r="G51" i="1"/>
  <c r="G43" i="2"/>
  <c r="H31" i="1"/>
  <c r="H23" i="1"/>
  <c r="H43" i="1"/>
  <c r="G31" i="1"/>
  <c r="G26" i="1"/>
  <c r="G15" i="1"/>
  <c r="E34" i="2"/>
  <c r="G34" i="2"/>
  <c r="H34" i="1"/>
  <c r="G50" i="1"/>
  <c r="E50" i="2"/>
  <c r="E46" i="5"/>
  <c r="G19" i="1"/>
  <c r="G27" i="1"/>
  <c r="G14" i="2"/>
  <c r="H15" i="2"/>
  <c r="H15" i="1"/>
  <c r="H30" i="1"/>
  <c r="E46" i="2"/>
  <c r="H14" i="2"/>
  <c r="H39" i="5"/>
  <c r="H43" i="2"/>
  <c r="E47" i="4"/>
  <c r="G46" i="5"/>
  <c r="H46" i="5"/>
  <c r="G50" i="2"/>
  <c r="H50" i="2"/>
  <c r="G46" i="1"/>
  <c r="E26" i="5"/>
  <c r="G30" i="2"/>
  <c r="H30" i="2"/>
  <c r="H22" i="1"/>
  <c r="G22" i="1"/>
  <c r="G18" i="2"/>
  <c r="E14" i="5"/>
  <c r="H18" i="2"/>
  <c r="G18" i="1"/>
  <c r="E54" i="1"/>
  <c r="H54" i="1"/>
  <c r="H18" i="1"/>
  <c r="G39" i="5"/>
  <c r="G40" i="4"/>
  <c r="H40" i="4"/>
  <c r="H35" i="1"/>
  <c r="G15" i="2"/>
  <c r="E27" i="5"/>
  <c r="G31" i="2"/>
  <c r="H31" i="2"/>
  <c r="E34" i="5"/>
  <c r="H38" i="2"/>
  <c r="G38" i="2"/>
  <c r="E38" i="5"/>
  <c r="H42" i="2"/>
  <c r="G42" i="2"/>
  <c r="E54" i="2"/>
  <c r="H54" i="2"/>
  <c r="H22" i="2"/>
  <c r="E18" i="5"/>
  <c r="G22" i="2"/>
  <c r="G35" i="2"/>
  <c r="H35" i="2"/>
  <c r="E31" i="5"/>
  <c r="H19" i="1"/>
  <c r="E55" i="1"/>
  <c r="H55" i="1"/>
  <c r="E19" i="2"/>
  <c r="E47" i="2"/>
  <c r="H47" i="1"/>
  <c r="E22" i="5"/>
  <c r="G26" i="2"/>
  <c r="G27" i="2"/>
  <c r="H27" i="2"/>
  <c r="H34" i="2"/>
  <c r="E30" i="5"/>
  <c r="H51" i="2"/>
  <c r="G51" i="2"/>
  <c r="E47" i="5"/>
  <c r="G46" i="2"/>
  <c r="H46" i="2"/>
  <c r="E42" i="5"/>
  <c r="H39" i="1"/>
  <c r="E39" i="2"/>
  <c r="G39" i="1"/>
  <c r="G23" i="1"/>
  <c r="G38" i="1"/>
  <c r="G54" i="1"/>
  <c r="H38" i="1"/>
  <c r="G10" i="5"/>
  <c r="H10" i="5"/>
  <c r="H47" i="4"/>
  <c r="E47" i="6"/>
  <c r="E50" i="13"/>
  <c r="E50" i="14"/>
  <c r="G47" i="4"/>
  <c r="E27" i="4"/>
  <c r="G26" i="5"/>
  <c r="H26" i="5"/>
  <c r="G54" i="2"/>
  <c r="H14" i="5"/>
  <c r="E15" i="4"/>
  <c r="G14" i="5"/>
  <c r="G11" i="5"/>
  <c r="H11" i="5"/>
  <c r="G55" i="1"/>
  <c r="G31" i="5"/>
  <c r="E32" i="4"/>
  <c r="H31" i="5"/>
  <c r="E43" i="4"/>
  <c r="G42" i="5"/>
  <c r="H42" i="5"/>
  <c r="G19" i="2"/>
  <c r="E55" i="2"/>
  <c r="H55" i="2"/>
  <c r="E15" i="5"/>
  <c r="H19" i="2"/>
  <c r="G23" i="2"/>
  <c r="H23" i="2"/>
  <c r="H23" i="5"/>
  <c r="G23" i="5"/>
  <c r="G47" i="2"/>
  <c r="E43" i="5"/>
  <c r="H47" i="2"/>
  <c r="G39" i="2"/>
  <c r="H39" i="2"/>
  <c r="E35" i="5"/>
  <c r="H30" i="5"/>
  <c r="G30" i="5"/>
  <c r="E31" i="4"/>
  <c r="G22" i="5"/>
  <c r="E23" i="4"/>
  <c r="H22" i="5"/>
  <c r="G18" i="5"/>
  <c r="H18" i="5"/>
  <c r="E50" i="5"/>
  <c r="H50" i="5"/>
  <c r="E19" i="4"/>
  <c r="E35" i="4"/>
  <c r="H34" i="5"/>
  <c r="G34" i="5"/>
  <c r="G27" i="5"/>
  <c r="E28" i="4"/>
  <c r="H27" i="5"/>
  <c r="H47" i="5"/>
  <c r="G47" i="5"/>
  <c r="E48" i="4"/>
  <c r="H38" i="5"/>
  <c r="E39" i="4"/>
  <c r="G38" i="5"/>
  <c r="G11" i="4"/>
  <c r="H11" i="6"/>
  <c r="H11" i="4"/>
  <c r="H27" i="4"/>
  <c r="E27" i="6"/>
  <c r="G27" i="6"/>
  <c r="G27" i="4"/>
  <c r="E15" i="6"/>
  <c r="H15" i="6"/>
  <c r="H15" i="4"/>
  <c r="G15" i="4"/>
  <c r="H12" i="4"/>
  <c r="G12" i="4"/>
  <c r="E36" i="4"/>
  <c r="G35" i="5"/>
  <c r="H35" i="5"/>
  <c r="G24" i="4"/>
  <c r="H27" i="13"/>
  <c r="H24" i="4"/>
  <c r="H32" i="4"/>
  <c r="E32" i="6"/>
  <c r="G32" i="4"/>
  <c r="H39" i="4"/>
  <c r="G39" i="4"/>
  <c r="E39" i="6"/>
  <c r="H39" i="6"/>
  <c r="H31" i="4"/>
  <c r="G31" i="4"/>
  <c r="E31" i="6"/>
  <c r="G31" i="6"/>
  <c r="G15" i="5"/>
  <c r="E16" i="4"/>
  <c r="H15" i="5"/>
  <c r="E51" i="5"/>
  <c r="H51" i="5"/>
  <c r="H43" i="4"/>
  <c r="E43" i="6"/>
  <c r="H43" i="6"/>
  <c r="G43" i="4"/>
  <c r="G43" i="5"/>
  <c r="E44" i="4"/>
  <c r="H43" i="5"/>
  <c r="H48" i="4"/>
  <c r="G48" i="4"/>
  <c r="E48" i="6"/>
  <c r="H28" i="4"/>
  <c r="G28" i="4"/>
  <c r="E28" i="6"/>
  <c r="E35" i="6"/>
  <c r="G35" i="6"/>
  <c r="G35" i="4"/>
  <c r="H35" i="4"/>
  <c r="G50" i="5"/>
  <c r="H19" i="4"/>
  <c r="G19" i="4"/>
  <c r="E51" i="4"/>
  <c r="H51" i="4"/>
  <c r="E19" i="6"/>
  <c r="E22" i="13"/>
  <c r="G22" i="13"/>
  <c r="E23" i="6"/>
  <c r="E26" i="13"/>
  <c r="G26" i="13"/>
  <c r="G23" i="4"/>
  <c r="G19" i="5"/>
  <c r="H19" i="5"/>
  <c r="G55" i="2"/>
  <c r="G15" i="6"/>
  <c r="G44" i="4"/>
  <c r="E44" i="6"/>
  <c r="G44" i="6"/>
  <c r="H44" i="4"/>
  <c r="G16" i="4"/>
  <c r="H16" i="4"/>
  <c r="E16" i="6"/>
  <c r="G16" i="6"/>
  <c r="E52" i="4"/>
  <c r="H52" i="4"/>
  <c r="G36" i="4"/>
  <c r="E36" i="6"/>
  <c r="E39" i="13"/>
  <c r="H39" i="13"/>
  <c r="H36" i="4"/>
  <c r="G51" i="5"/>
  <c r="G39" i="6"/>
  <c r="E35" i="13"/>
  <c r="G35" i="13"/>
  <c r="G32" i="6"/>
  <c r="H32" i="6"/>
  <c r="E38" i="13"/>
  <c r="H38" i="13"/>
  <c r="H20" i="4"/>
  <c r="G20" i="4"/>
  <c r="G51" i="4"/>
  <c r="G52" i="4"/>
  <c r="E30" i="13"/>
  <c r="E30" i="14"/>
  <c r="G30" i="14"/>
  <c r="H35" i="6"/>
  <c r="H24" i="6"/>
  <c r="H43" i="13"/>
  <c r="G43" i="13"/>
  <c r="G24" i="6"/>
  <c r="H20" i="6"/>
  <c r="E42" i="13"/>
  <c r="E42" i="14"/>
  <c r="E42" i="15"/>
  <c r="H42" i="15"/>
  <c r="E18" i="13"/>
  <c r="G18" i="13"/>
  <c r="G20" i="6"/>
  <c r="G23" i="6"/>
  <c r="G30" i="13"/>
  <c r="E34" i="13"/>
  <c r="H34" i="13"/>
  <c r="E47" i="13"/>
  <c r="E47" i="14"/>
  <c r="H47" i="14"/>
  <c r="H36" i="6"/>
  <c r="H31" i="6"/>
  <c r="G36" i="6"/>
  <c r="E38" i="14"/>
  <c r="G38" i="14"/>
  <c r="E38" i="15"/>
  <c r="E36" i="20"/>
  <c r="E38" i="17"/>
  <c r="H38" i="17"/>
  <c r="E35" i="14"/>
  <c r="G35" i="14"/>
  <c r="E35" i="15"/>
  <c r="G35" i="15"/>
  <c r="E46" i="13"/>
  <c r="G46" i="13"/>
  <c r="G14" i="13"/>
  <c r="G34" i="13"/>
  <c r="G38" i="13"/>
  <c r="G42" i="13"/>
  <c r="G50" i="13"/>
  <c r="G54" i="13"/>
  <c r="H14" i="13"/>
  <c r="H27" i="6"/>
  <c r="H47" i="6"/>
  <c r="H35" i="13"/>
  <c r="G11" i="6"/>
  <c r="E51" i="6"/>
  <c r="H51" i="6"/>
  <c r="G47" i="6"/>
  <c r="H50" i="13"/>
  <c r="E19" i="13"/>
  <c r="H19" i="13"/>
  <c r="G19" i="6"/>
  <c r="G43" i="6"/>
  <c r="H19" i="6"/>
  <c r="H16" i="6"/>
  <c r="G47" i="13"/>
  <c r="G48" i="6"/>
  <c r="H48" i="6"/>
  <c r="E51" i="13"/>
  <c r="G51" i="13"/>
  <c r="G39" i="13"/>
  <c r="H28" i="6"/>
  <c r="E31" i="13"/>
  <c r="G31" i="13"/>
  <c r="G28" i="6"/>
  <c r="E52" i="6"/>
  <c r="H52" i="6"/>
  <c r="E22" i="14"/>
  <c r="G22" i="14"/>
  <c r="G40" i="6"/>
  <c r="H40" i="6"/>
  <c r="G12" i="6"/>
  <c r="H44" i="6"/>
  <c r="H47" i="13"/>
  <c r="H38" i="14"/>
  <c r="G51" i="6"/>
  <c r="E19" i="14"/>
  <c r="G19" i="14"/>
  <c r="G19" i="13"/>
  <c r="G52" i="6"/>
  <c r="H31" i="13"/>
  <c r="H22" i="14"/>
  <c r="H51" i="13"/>
  <c r="H35" i="14"/>
  <c r="G47" i="14"/>
  <c r="E50" i="15"/>
  <c r="G50" i="15"/>
  <c r="H50" i="15"/>
  <c r="G50" i="14"/>
  <c r="H50" i="14"/>
  <c r="E51" i="14"/>
  <c r="H51" i="14"/>
  <c r="E31" i="14"/>
  <c r="E31" i="15"/>
  <c r="G31" i="15"/>
  <c r="H42" i="13"/>
  <c r="G23" i="13"/>
  <c r="H43" i="14"/>
  <c r="E39" i="14"/>
  <c r="E39" i="15"/>
  <c r="H27" i="15"/>
  <c r="G27" i="13"/>
  <c r="E55" i="13"/>
  <c r="H55" i="13"/>
  <c r="H15" i="13"/>
  <c r="G14" i="14"/>
  <c r="E34" i="14"/>
  <c r="G34" i="14"/>
  <c r="H30" i="13"/>
  <c r="E26" i="14"/>
  <c r="G26" i="14"/>
  <c r="H22" i="13"/>
  <c r="E18" i="14"/>
  <c r="G18" i="14"/>
  <c r="H18" i="13"/>
  <c r="G55" i="13"/>
  <c r="G39" i="14"/>
  <c r="H27" i="14"/>
  <c r="E26" i="15"/>
  <c r="E24" i="20"/>
  <c r="E26" i="17"/>
  <c r="H18" i="14"/>
  <c r="H46" i="13"/>
  <c r="E54" i="13"/>
  <c r="H54" i="13"/>
  <c r="E46" i="14"/>
  <c r="G46" i="14"/>
  <c r="E51" i="15"/>
  <c r="G51" i="15"/>
  <c r="E19" i="15"/>
  <c r="G19" i="15"/>
  <c r="H19" i="14"/>
  <c r="H39" i="15"/>
  <c r="E37" i="20"/>
  <c r="H37" i="20"/>
  <c r="G39" i="15"/>
  <c r="E48" i="20"/>
  <c r="E50" i="17"/>
  <c r="H34" i="14"/>
  <c r="H39" i="14"/>
  <c r="G23" i="14"/>
  <c r="E47" i="15"/>
  <c r="G47" i="15"/>
  <c r="E18" i="15"/>
  <c r="H18" i="15"/>
  <c r="G51" i="14"/>
  <c r="G43" i="14"/>
  <c r="G31" i="14"/>
  <c r="G27" i="14"/>
  <c r="G15" i="14"/>
  <c r="G55" i="14"/>
  <c r="G43" i="15"/>
  <c r="E33" i="20"/>
  <c r="E35" i="17"/>
  <c r="H31" i="14"/>
  <c r="G21" i="20"/>
  <c r="E17" i="20"/>
  <c r="E19" i="17"/>
  <c r="E55" i="14"/>
  <c r="H55" i="14"/>
  <c r="H15" i="15"/>
  <c r="H46" i="14"/>
  <c r="E46" i="15"/>
  <c r="G46" i="15"/>
  <c r="G14" i="15"/>
  <c r="G18" i="15"/>
  <c r="E22" i="15"/>
  <c r="G22" i="15"/>
  <c r="E30" i="15"/>
  <c r="G30" i="15"/>
  <c r="E34" i="15"/>
  <c r="G34" i="15"/>
  <c r="G38" i="15"/>
  <c r="G26" i="15"/>
  <c r="G42" i="15"/>
  <c r="G54" i="15"/>
  <c r="G42" i="14"/>
  <c r="G54" i="14"/>
  <c r="H42" i="14"/>
  <c r="H34" i="15"/>
  <c r="H30" i="14"/>
  <c r="E20" i="20"/>
  <c r="E22" i="17"/>
  <c r="G22" i="17"/>
  <c r="E54" i="14"/>
  <c r="H54" i="14"/>
  <c r="H14" i="14"/>
  <c r="H14" i="15"/>
  <c r="H47" i="15"/>
  <c r="G48" i="20"/>
  <c r="H48" i="20"/>
  <c r="E39" i="17"/>
  <c r="H39" i="17"/>
  <c r="E39" i="21"/>
  <c r="G39" i="21"/>
  <c r="G37" i="20"/>
  <c r="H41" i="20"/>
  <c r="H33" i="20"/>
  <c r="E28" i="20"/>
  <c r="H28" i="20"/>
  <c r="H22" i="15"/>
  <c r="E50" i="21"/>
  <c r="G50" i="17"/>
  <c r="E40" i="20"/>
  <c r="G40" i="20"/>
  <c r="H12" i="20"/>
  <c r="H46" i="15"/>
  <c r="E45" i="20"/>
  <c r="E47" i="22"/>
  <c r="H47" i="22"/>
  <c r="G50" i="21"/>
  <c r="H50" i="21"/>
  <c r="H50" i="17"/>
  <c r="G27" i="15"/>
  <c r="H51" i="15"/>
  <c r="E49" i="20"/>
  <c r="H49" i="20"/>
  <c r="H43" i="15"/>
  <c r="G35" i="17"/>
  <c r="E35" i="21"/>
  <c r="E32" i="22"/>
  <c r="H32" i="22"/>
  <c r="H35" i="17"/>
  <c r="G33" i="20"/>
  <c r="H35" i="15"/>
  <c r="H31" i="15"/>
  <c r="E29" i="20"/>
  <c r="E55" i="15"/>
  <c r="H55" i="15"/>
  <c r="G27" i="21"/>
  <c r="G23" i="17"/>
  <c r="G23" i="15"/>
  <c r="H23" i="15"/>
  <c r="G17" i="20"/>
  <c r="H19" i="15"/>
  <c r="G13" i="20"/>
  <c r="G15" i="15"/>
  <c r="E44" i="20"/>
  <c r="G44" i="20"/>
  <c r="H44" i="20"/>
  <c r="H36" i="20"/>
  <c r="G36" i="20"/>
  <c r="H38" i="15"/>
  <c r="E32" i="20"/>
  <c r="H32" i="20"/>
  <c r="H30" i="15"/>
  <c r="G20" i="20"/>
  <c r="E16" i="20"/>
  <c r="G16" i="20"/>
  <c r="E54" i="15"/>
  <c r="H54" i="15"/>
  <c r="G12" i="20"/>
  <c r="E47" i="17"/>
  <c r="G45" i="20"/>
  <c r="H45" i="20"/>
  <c r="E42" i="17"/>
  <c r="H42" i="17"/>
  <c r="G42" i="17"/>
  <c r="G55" i="15"/>
  <c r="E31" i="17"/>
  <c r="G29" i="20"/>
  <c r="H29" i="20"/>
  <c r="G25" i="20"/>
  <c r="E46" i="17"/>
  <c r="G46" i="17"/>
  <c r="H46" i="17"/>
  <c r="G32" i="20"/>
  <c r="E18" i="17"/>
  <c r="E18" i="21"/>
  <c r="G18" i="21"/>
  <c r="H16" i="20"/>
  <c r="H47" i="17"/>
  <c r="G47" i="17"/>
  <c r="E47" i="21"/>
  <c r="H31" i="17"/>
  <c r="G31" i="17"/>
  <c r="E31" i="21"/>
  <c r="E28" i="22"/>
  <c r="H28" i="22"/>
  <c r="E44" i="22"/>
  <c r="H47" i="21"/>
  <c r="G47" i="21"/>
  <c r="G44" i="22"/>
  <c r="H44" i="22"/>
  <c r="G41" i="20"/>
  <c r="G49" i="20"/>
  <c r="G52" i="20"/>
  <c r="H25" i="20"/>
  <c r="E51" i="17"/>
  <c r="E52" i="20"/>
  <c r="H52" i="20"/>
  <c r="E43" i="17"/>
  <c r="H43" i="17"/>
  <c r="G39" i="17"/>
  <c r="H21" i="20"/>
  <c r="G19" i="17"/>
  <c r="E19" i="21"/>
  <c r="H19" i="21"/>
  <c r="H19" i="17"/>
  <c r="H17" i="20"/>
  <c r="H13" i="20"/>
  <c r="E46" i="21"/>
  <c r="E43" i="22"/>
  <c r="H40" i="20"/>
  <c r="E38" i="21"/>
  <c r="E35" i="22"/>
  <c r="H35" i="22"/>
  <c r="E34" i="17"/>
  <c r="G34" i="17"/>
  <c r="E51" i="20"/>
  <c r="H51" i="20"/>
  <c r="E30" i="17"/>
  <c r="E30" i="21"/>
  <c r="H30" i="21"/>
  <c r="G28" i="20"/>
  <c r="E26" i="21"/>
  <c r="H26" i="21"/>
  <c r="G26" i="17"/>
  <c r="H26" i="17"/>
  <c r="G24" i="20"/>
  <c r="G51" i="20"/>
  <c r="H24" i="20"/>
  <c r="E22" i="21"/>
  <c r="E19" i="22"/>
  <c r="H22" i="17"/>
  <c r="H20" i="20"/>
  <c r="H14" i="21"/>
  <c r="H51" i="17"/>
  <c r="G51" i="17"/>
  <c r="E51" i="21"/>
  <c r="E43" i="21"/>
  <c r="G43" i="21"/>
  <c r="E34" i="21"/>
  <c r="E31" i="22"/>
  <c r="H34" i="17"/>
  <c r="H30" i="17"/>
  <c r="G14" i="17"/>
  <c r="H14" i="17"/>
  <c r="H51" i="21"/>
  <c r="G51" i="21"/>
  <c r="E48" i="22"/>
  <c r="G48" i="22"/>
  <c r="H48" i="22"/>
  <c r="H15" i="17"/>
  <c r="E15" i="21"/>
  <c r="G15" i="21"/>
  <c r="G43" i="17"/>
  <c r="E23" i="21"/>
  <c r="G23" i="21"/>
  <c r="H23" i="17"/>
  <c r="G15" i="17"/>
  <c r="G27" i="17"/>
  <c r="G55" i="17"/>
  <c r="E36" i="22"/>
  <c r="H36" i="22"/>
  <c r="H27" i="17"/>
  <c r="E55" i="17"/>
  <c r="H55" i="17"/>
  <c r="E42" i="21"/>
  <c r="G42" i="21"/>
  <c r="G38" i="21"/>
  <c r="H38" i="21"/>
  <c r="G38" i="17"/>
  <c r="E27" i="22"/>
  <c r="H27" i="22"/>
  <c r="G27" i="22"/>
  <c r="G30" i="17"/>
  <c r="G18" i="17"/>
  <c r="G54" i="17"/>
  <c r="E15" i="22"/>
  <c r="H15" i="22"/>
  <c r="H18" i="21"/>
  <c r="E54" i="17"/>
  <c r="H54" i="17"/>
  <c r="H18" i="17"/>
  <c r="G12" i="22"/>
  <c r="G15" i="22"/>
  <c r="H43" i="21"/>
  <c r="E40" i="22"/>
  <c r="G40" i="22"/>
  <c r="G36" i="22"/>
  <c r="H39" i="21"/>
  <c r="H35" i="21"/>
  <c r="G35" i="21"/>
  <c r="H31" i="21"/>
  <c r="G31" i="21"/>
  <c r="H27" i="21"/>
  <c r="E24" i="22"/>
  <c r="H24" i="22"/>
  <c r="H23" i="21"/>
  <c r="E20" i="22"/>
  <c r="G19" i="21"/>
  <c r="E16" i="22"/>
  <c r="H15" i="21"/>
  <c r="E55" i="21"/>
  <c r="H55" i="21"/>
  <c r="G14" i="21"/>
  <c r="G22" i="21"/>
  <c r="G30" i="21"/>
  <c r="G34" i="21"/>
  <c r="G26" i="21"/>
  <c r="G46" i="21"/>
  <c r="G54" i="21"/>
  <c r="G43" i="22"/>
  <c r="H43" i="22"/>
  <c r="H46" i="21"/>
  <c r="H42" i="21"/>
  <c r="E39" i="22"/>
  <c r="H39" i="22"/>
  <c r="G31" i="22"/>
  <c r="H31" i="22"/>
  <c r="H34" i="21"/>
  <c r="E23" i="22"/>
  <c r="H23" i="22"/>
  <c r="G19" i="22"/>
  <c r="H19" i="22"/>
  <c r="H22" i="21"/>
  <c r="E54" i="21"/>
  <c r="H54" i="21"/>
  <c r="G55" i="21"/>
  <c r="H20" i="22"/>
  <c r="G20" i="22"/>
  <c r="G16" i="22"/>
  <c r="H16" i="22"/>
  <c r="G23" i="22"/>
  <c r="H11" i="22"/>
  <c r="G39" i="22"/>
  <c r="G24" i="22"/>
  <c r="H40" i="22"/>
  <c r="G32" i="22"/>
  <c r="G28" i="22"/>
  <c r="E52" i="22"/>
  <c r="H52" i="22"/>
  <c r="G52" i="22"/>
  <c r="H12" i="22"/>
  <c r="G47" i="22"/>
  <c r="G35" i="22"/>
  <c r="E51" i="22"/>
  <c r="H51" i="22"/>
  <c r="G11" i="22"/>
  <c r="G51" i="22"/>
  <c r="G20" i="24"/>
  <c r="G12" i="24"/>
  <c r="G52" i="24" s="1"/>
  <c r="H12" i="24"/>
  <c r="H36" i="24"/>
  <c r="H43" i="24"/>
  <c r="G35" i="24"/>
  <c r="E52" i="24"/>
  <c r="H52" i="24" s="1"/>
  <c r="G19" i="24"/>
  <c r="G11" i="24"/>
  <c r="G16" i="24"/>
  <c r="G24" i="24"/>
  <c r="G32" i="24"/>
  <c r="G40" i="24"/>
  <c r="G48" i="24"/>
  <c r="H11" i="24"/>
  <c r="G15" i="24"/>
  <c r="H16" i="24"/>
  <c r="G23" i="24"/>
  <c r="G31" i="24"/>
  <c r="G39" i="24"/>
  <c r="G47" i="24"/>
  <c r="G12" i="27" l="1"/>
  <c r="G52" i="27" s="1"/>
  <c r="H12" i="27"/>
  <c r="E52" i="27"/>
  <c r="H52" i="27" s="1"/>
  <c r="H12" i="26"/>
  <c r="G52" i="26"/>
  <c r="E52" i="26"/>
  <c r="H52" i="26" s="1"/>
  <c r="G12" i="25"/>
  <c r="G52" i="25" s="1"/>
  <c r="H12" i="25"/>
  <c r="E52" i="25"/>
  <c r="H52" i="25" s="1"/>
  <c r="G52" i="23"/>
  <c r="E51" i="24"/>
  <c r="H51" i="24" s="1"/>
  <c r="G27" i="24"/>
  <c r="G51" i="24" s="1"/>
  <c r="G51" i="23"/>
</calcChain>
</file>

<file path=xl/sharedStrings.xml><?xml version="1.0" encoding="utf-8"?>
<sst xmlns="http://schemas.openxmlformats.org/spreadsheetml/2006/main" count="1313" uniqueCount="90">
  <si>
    <t xml:space="preserve"> </t>
  </si>
  <si>
    <t>TREASURERS REPORT TO SCHOOL BOARD</t>
  </si>
  <si>
    <t>INDEPENDENT SCHOOL DISTRICT #548</t>
  </si>
  <si>
    <t xml:space="preserve">  MONTH OF:</t>
  </si>
  <si>
    <t>REVENUE &amp; EXPENSE ACTIVITY</t>
  </si>
  <si>
    <t>FUNDS</t>
  </si>
  <si>
    <t>Approved</t>
  </si>
  <si>
    <t>Monthly</t>
  </si>
  <si>
    <t>Encumbrances</t>
  </si>
  <si>
    <t>Year-to-date</t>
  </si>
  <si>
    <t xml:space="preserve">Budget </t>
  </si>
  <si>
    <t xml:space="preserve">Current </t>
  </si>
  <si>
    <t>Budget</t>
  </si>
  <si>
    <t>Activity</t>
  </si>
  <si>
    <t>Balance</t>
  </si>
  <si>
    <t>% to Budget</t>
  </si>
  <si>
    <t>General  01 (Cash)</t>
  </si>
  <si>
    <t xml:space="preserve">  Revenue</t>
  </si>
  <si>
    <t xml:space="preserve">  Expenditures</t>
  </si>
  <si>
    <t>Food Service 02</t>
  </si>
  <si>
    <t>Community Service 04</t>
  </si>
  <si>
    <t>Construction 06</t>
  </si>
  <si>
    <t>Debt Service 07</t>
  </si>
  <si>
    <t>Trust Funds (scholarships) 08</t>
  </si>
  <si>
    <t>West Central Initiative 11</t>
  </si>
  <si>
    <t>Student Fund Raising 24</t>
  </si>
  <si>
    <t>OPEB Irrevocable Trust</t>
  </si>
  <si>
    <t>OPEB Debt Service</t>
  </si>
  <si>
    <t>Total Revenue</t>
  </si>
  <si>
    <t>Total Expenditures</t>
  </si>
  <si>
    <t>OPERATING FUNDS ON HAND</t>
  </si>
  <si>
    <t>October Wire Transfers</t>
  </si>
  <si>
    <t>BANK</t>
  </si>
  <si>
    <t>Month</t>
  </si>
  <si>
    <t xml:space="preserve">Vendor </t>
  </si>
  <si>
    <t>Amount</t>
  </si>
  <si>
    <t>General Checking-Last Day of Month</t>
  </si>
  <si>
    <t>Ed Benefits Consultants</t>
  </si>
  <si>
    <t>Less:  Outstanding Checks</t>
  </si>
  <si>
    <t>MN Dept of Revenue</t>
  </si>
  <si>
    <t>Less:  Outstanding Payroll Checks</t>
  </si>
  <si>
    <t>Payroll</t>
  </si>
  <si>
    <t>Plus:  Imprest Cash</t>
  </si>
  <si>
    <t>IRS</t>
  </si>
  <si>
    <t>Less:  MN Dept of Rev Pmt</t>
  </si>
  <si>
    <t>PERA</t>
  </si>
  <si>
    <t>Less:  Select Account</t>
  </si>
  <si>
    <t>TRA</t>
  </si>
  <si>
    <t>Less: Ed Benefits Pmt</t>
  </si>
  <si>
    <t>PAYSCHOOLS</t>
  </si>
  <si>
    <t>Less:  MN State Retirment</t>
  </si>
  <si>
    <t>BREMER</t>
  </si>
  <si>
    <t>Select Account</t>
  </si>
  <si>
    <t>Xfer to MSDLAF</t>
  </si>
  <si>
    <t>Plus:  MN Ntl Wire</t>
  </si>
  <si>
    <t>Corrected Bank Balance</t>
  </si>
  <si>
    <t>Investment Accounts</t>
  </si>
  <si>
    <t>LAF Investments-Last Day of Month</t>
  </si>
  <si>
    <t>MAX Investments-Last Day of Month</t>
  </si>
  <si>
    <t>2014 Bond Renovation</t>
  </si>
  <si>
    <t>TOTAL INVESTMENTS</t>
  </si>
  <si>
    <t>Construction Service 06</t>
  </si>
  <si>
    <t>November Wire Transfers</t>
  </si>
  <si>
    <t>State of MN</t>
  </si>
  <si>
    <t>Reinsurance Fee</t>
  </si>
  <si>
    <t>PITNEY BOWES</t>
  </si>
  <si>
    <t>**Approved</t>
  </si>
  <si>
    <t>Prior</t>
  </si>
  <si>
    <t>December Wire Transfers</t>
  </si>
  <si>
    <t>January Wire Transfers</t>
  </si>
  <si>
    <t>Plus:  IRS Correction/Overpmt</t>
  </si>
  <si>
    <t>Plus:  PERA Correction/Overpmt</t>
  </si>
  <si>
    <t>Wells Fargo Fee</t>
  </si>
  <si>
    <t>Postage</t>
  </si>
  <si>
    <t>Mn Dept of Rev-Sales Tax</t>
  </si>
  <si>
    <t>Bond Payments-Wells Fargo</t>
  </si>
  <si>
    <t>OPEB severance</t>
  </si>
  <si>
    <t>February Wire Transfers</t>
  </si>
  <si>
    <t>Less:  Wells Fargo Adj</t>
  </si>
  <si>
    <t>MN Ntl-Deposit tickets</t>
  </si>
  <si>
    <t>Wires</t>
  </si>
  <si>
    <t>Pitney Bowes</t>
  </si>
  <si>
    <t>Bremer</t>
  </si>
  <si>
    <t>SELECT ACCOUNT</t>
  </si>
  <si>
    <t>Wells Fargo-Bond payments</t>
  </si>
  <si>
    <t xml:space="preserve">Less:  IRS </t>
  </si>
  <si>
    <t>Less:  PERA Correction/Overpmt</t>
  </si>
  <si>
    <t>Less:  Mn State Retirement System</t>
  </si>
  <si>
    <t>MAINSTREET CHECKS</t>
  </si>
  <si>
    <t>REINSURANCE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</si>
</sst>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[$-409]mmm\-yy;@"/>
  </numFmts>
  <fonts count="23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 Black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 val="singleAccounting"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7" fontId="1" fillId="0" borderId="0" xfId="0" applyNumberFormat="1" applyFont="1" applyProtection="1"/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7" fontId="1" fillId="0" borderId="0" xfId="0" applyNumberFormat="1" applyFont="1" applyBorder="1"/>
    <xf numFmtId="7" fontId="1" fillId="0" borderId="0" xfId="0" applyNumberFormat="1" applyFont="1" applyBorder="1" applyProtection="1"/>
    <xf numFmtId="9" fontId="6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0" applyNumberFormat="1" applyFont="1" applyAlignment="1" applyProtection="1">
      <alignment horizontal="center"/>
    </xf>
    <xf numFmtId="44" fontId="1" fillId="0" borderId="0" xfId="2" applyFont="1" applyBorder="1"/>
    <xf numFmtId="9" fontId="1" fillId="0" borderId="0" xfId="2" applyNumberFormat="1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7" fontId="1" fillId="0" borderId="1" xfId="0" applyNumberFormat="1" applyFont="1" applyBorder="1"/>
    <xf numFmtId="7" fontId="1" fillId="0" borderId="1" xfId="0" applyNumberFormat="1" applyFont="1" applyBorder="1" applyProtection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9" fontId="6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/>
    <xf numFmtId="7" fontId="1" fillId="0" borderId="0" xfId="0" applyNumberFormat="1" applyFont="1"/>
    <xf numFmtId="165" fontId="5" fillId="0" borderId="0" xfId="0" quotePrefix="1" applyNumberFormat="1" applyFont="1" applyBorder="1" applyAlignment="1">
      <alignment horizontal="center"/>
    </xf>
    <xf numFmtId="0" fontId="1" fillId="0" borderId="0" xfId="0" applyFont="1" applyFill="1" applyBorder="1"/>
    <xf numFmtId="7" fontId="1" fillId="0" borderId="0" xfId="0" applyNumberFormat="1" applyFont="1" applyFill="1" applyBorder="1" applyProtection="1"/>
    <xf numFmtId="0" fontId="1" fillId="0" borderId="0" xfId="0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/>
    <xf numFmtId="7" fontId="1" fillId="0" borderId="1" xfId="0" applyNumberFormat="1" applyFont="1" applyFill="1" applyBorder="1" applyProtection="1"/>
    <xf numFmtId="0" fontId="13" fillId="0" borderId="1" xfId="0" applyFont="1" applyFill="1" applyBorder="1"/>
    <xf numFmtId="0" fontId="1" fillId="2" borderId="1" xfId="0" applyFont="1" applyFill="1" applyBorder="1"/>
    <xf numFmtId="7" fontId="1" fillId="2" borderId="1" xfId="0" applyNumberFormat="1" applyFont="1" applyFill="1" applyBorder="1"/>
    <xf numFmtId="7" fontId="1" fillId="2" borderId="0" xfId="0" applyNumberFormat="1" applyFont="1" applyFill="1" applyBorder="1"/>
    <xf numFmtId="9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5" fillId="2" borderId="1" xfId="0" applyFont="1" applyFill="1" applyBorder="1"/>
    <xf numFmtId="7" fontId="1" fillId="2" borderId="1" xfId="0" applyNumberFormat="1" applyFont="1" applyFill="1" applyBorder="1" applyProtection="1"/>
    <xf numFmtId="7" fontId="1" fillId="2" borderId="0" xfId="0" applyNumberFormat="1" applyFont="1" applyFill="1" applyBorder="1" applyProtection="1"/>
    <xf numFmtId="7" fontId="1" fillId="0" borderId="1" xfId="0" applyNumberFormat="1" applyFont="1" applyFill="1" applyBorder="1"/>
    <xf numFmtId="44" fontId="1" fillId="0" borderId="1" xfId="2" applyFont="1" applyBorder="1"/>
    <xf numFmtId="0" fontId="17" fillId="0" borderId="0" xfId="0" applyFont="1"/>
    <xf numFmtId="0" fontId="18" fillId="0" borderId="0" xfId="0" applyFont="1"/>
    <xf numFmtId="0" fontId="16" fillId="0" borderId="0" xfId="0" applyFont="1"/>
    <xf numFmtId="44" fontId="1" fillId="0" borderId="0" xfId="2" applyFont="1"/>
    <xf numFmtId="44" fontId="16" fillId="0" borderId="2" xfId="0" applyNumberFormat="1" applyFont="1" applyBorder="1"/>
    <xf numFmtId="44" fontId="19" fillId="0" borderId="0" xfId="2" applyFont="1"/>
    <xf numFmtId="0" fontId="7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5" fillId="0" borderId="1" xfId="0" applyFont="1" applyFill="1" applyBorder="1"/>
    <xf numFmtId="44" fontId="5" fillId="0" borderId="1" xfId="2" applyFont="1" applyBorder="1"/>
    <xf numFmtId="44" fontId="15" fillId="0" borderId="1" xfId="2" applyFont="1" applyBorder="1"/>
    <xf numFmtId="9" fontId="1" fillId="0" borderId="1" xfId="0" applyNumberFormat="1" applyFont="1" applyFill="1" applyBorder="1" applyAlignment="1">
      <alignment horizontal="center"/>
    </xf>
    <xf numFmtId="44" fontId="1" fillId="0" borderId="0" xfId="2" applyFont="1" applyFill="1"/>
    <xf numFmtId="44" fontId="20" fillId="0" borderId="0" xfId="2" applyFont="1"/>
    <xf numFmtId="43" fontId="1" fillId="0" borderId="0" xfId="1" applyFont="1"/>
    <xf numFmtId="44" fontId="1" fillId="0" borderId="0" xfId="2" applyFont="1" applyFill="1" applyBorder="1"/>
    <xf numFmtId="164" fontId="1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7" fontId="1" fillId="0" borderId="0" xfId="0" applyNumberFormat="1" applyFont="1" applyFill="1" applyProtection="1"/>
    <xf numFmtId="0" fontId="5" fillId="0" borderId="0" xfId="0" applyFont="1" applyFill="1" applyBorder="1" applyAlignment="1">
      <alignment horizontal="right"/>
    </xf>
    <xf numFmtId="0" fontId="17" fillId="0" borderId="0" xfId="0" applyFont="1" applyFill="1"/>
    <xf numFmtId="0" fontId="0" fillId="0" borderId="0" xfId="0" applyFill="1"/>
    <xf numFmtId="0" fontId="18" fillId="0" borderId="0" xfId="0" applyFont="1" applyFill="1"/>
    <xf numFmtId="0" fontId="16" fillId="0" borderId="0" xfId="0" applyFont="1" applyFill="1"/>
    <xf numFmtId="0" fontId="6" fillId="0" borderId="0" xfId="0" applyFont="1" applyFill="1" applyBorder="1" applyAlignment="1">
      <alignment horizontal="center"/>
    </xf>
    <xf numFmtId="9" fontId="6" fillId="0" borderId="1" xfId="0" applyNumberFormat="1" applyFont="1" applyFill="1" applyBorder="1" applyAlignment="1">
      <alignment horizontal="center"/>
    </xf>
    <xf numFmtId="7" fontId="1" fillId="0" borderId="0" xfId="0" applyNumberFormat="1" applyFont="1" applyFill="1" applyBorder="1"/>
    <xf numFmtId="9" fontId="1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left"/>
    </xf>
    <xf numFmtId="7" fontId="13" fillId="0" borderId="0" xfId="0" applyNumberFormat="1" applyFont="1" applyFill="1" applyBorder="1" applyProtection="1"/>
    <xf numFmtId="0" fontId="5" fillId="0" borderId="0" xfId="0" applyFont="1" applyFill="1" applyBorder="1"/>
    <xf numFmtId="44" fontId="5" fillId="0" borderId="0" xfId="2" applyFont="1" applyBorder="1"/>
    <xf numFmtId="0" fontId="1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4" fillId="0" borderId="3" xfId="0" applyFont="1" applyBorder="1"/>
    <xf numFmtId="44" fontId="20" fillId="0" borderId="0" xfId="2" applyFont="1" applyFill="1"/>
    <xf numFmtId="0" fontId="21" fillId="0" borderId="0" xfId="0" applyFont="1"/>
    <xf numFmtId="44" fontId="15" fillId="0" borderId="0" xfId="2" applyFont="1" applyBorder="1"/>
    <xf numFmtId="0" fontId="22" fillId="0" borderId="0" xfId="0" applyFont="1"/>
    <xf numFmtId="43" fontId="1" fillId="0" borderId="0" xfId="1" applyFont="1" applyBorder="1"/>
    <xf numFmtId="44" fontId="16" fillId="0" borderId="2" xfId="0" applyNumberFormat="1" applyFont="1" applyFill="1" applyBorder="1"/>
    <xf numFmtId="0" fontId="6" fillId="0" borderId="4" xfId="0" applyFont="1" applyFill="1" applyBorder="1"/>
    <xf numFmtId="0" fontId="1" fillId="0" borderId="4" xfId="0" applyFont="1" applyFill="1" applyBorder="1"/>
    <xf numFmtId="0" fontId="1" fillId="0" borderId="4" xfId="0" applyFont="1" applyBorder="1"/>
    <xf numFmtId="0" fontId="5" fillId="0" borderId="4" xfId="0" applyFont="1" applyFill="1" applyBorder="1"/>
    <xf numFmtId="0" fontId="13" fillId="0" borderId="4" xfId="0" applyFont="1" applyFill="1" applyBorder="1"/>
    <xf numFmtId="43" fontId="1" fillId="0" borderId="1" xfId="1" applyFont="1" applyBorder="1"/>
    <xf numFmtId="14" fontId="1" fillId="0" borderId="0" xfId="0" applyNumberFormat="1" applyFont="1" applyBorder="1" applyAlignment="1">
      <alignment horizontal="center"/>
    </xf>
    <xf numFmtId="44" fontId="7" fillId="0" borderId="0" xfId="0" applyNumberFormat="1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92"/>
  <sheetViews>
    <sheetView defaultGridColor="0" colorId="22" zoomScale="85" zoomScaleNormal="85" zoomScaleSheetLayoutView="75" workbookViewId="0">
      <selection activeCell="C66" sqref="C66"/>
    </sheetView>
  </sheetViews>
  <sheetFormatPr defaultColWidth="11.44140625" defaultRowHeight="12.75" x14ac:dyDescent="0.2"/>
  <cols>
    <col min="1" max="1" width="29.21875" style="1" customWidth="1"/>
    <col min="2" max="2" width="13.6640625" style="37" customWidth="1"/>
    <col min="3" max="3" width="13.6640625" style="1" customWidth="1"/>
    <col min="4" max="4" width="12.44140625" style="1" customWidth="1"/>
    <col min="5" max="5" width="13.5546875" style="37" customWidth="1"/>
    <col min="6" max="6" width="2.77734375" style="1" customWidth="1"/>
    <col min="7" max="7" width="16" style="37" customWidth="1"/>
    <col min="8" max="8" width="13.5546875" style="10" customWidth="1"/>
    <col min="9" max="11" width="11.44140625" style="1" customWidth="1"/>
    <col min="12" max="13" width="13.77734375" style="1" customWidth="1"/>
    <col min="14" max="15" width="15.77734375" style="1" customWidth="1"/>
    <col min="16" max="18" width="13.77734375" style="1" customWidth="1"/>
    <col min="19" max="16384" width="11.44140625" style="1"/>
  </cols>
  <sheetData>
    <row r="1" spans="1:9" x14ac:dyDescent="0.2">
      <c r="A1" s="5"/>
      <c r="B1" s="70"/>
      <c r="C1" s="12"/>
      <c r="D1" s="12"/>
      <c r="E1" s="70"/>
      <c r="F1" s="12"/>
      <c r="G1" s="70"/>
      <c r="H1" s="13"/>
      <c r="I1" s="1" t="s">
        <v>0</v>
      </c>
    </row>
    <row r="2" spans="1:9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1" t="s">
        <v>0</v>
      </c>
    </row>
    <row r="3" spans="1:9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1" t="s">
        <v>0</v>
      </c>
    </row>
    <row r="4" spans="1:9" ht="15" x14ac:dyDescent="0.3">
      <c r="A4" s="104"/>
      <c r="B4" s="104"/>
      <c r="C4" s="104"/>
      <c r="D4" s="104"/>
      <c r="E4" s="104"/>
      <c r="F4" s="104"/>
      <c r="G4" s="104"/>
      <c r="H4" s="104"/>
    </row>
    <row r="5" spans="1:9" x14ac:dyDescent="0.2">
      <c r="A5" s="5"/>
      <c r="B5" s="35"/>
      <c r="C5" s="5"/>
      <c r="D5" s="5"/>
      <c r="E5" s="35"/>
      <c r="F5" s="5"/>
      <c r="G5" s="35"/>
      <c r="H5" s="14"/>
      <c r="I5" s="1" t="s">
        <v>0</v>
      </c>
    </row>
    <row r="6" spans="1:9" x14ac:dyDescent="0.2">
      <c r="A6" s="5"/>
      <c r="B6" s="71"/>
      <c r="C6" s="5"/>
      <c r="D6" s="5"/>
      <c r="E6" s="35"/>
      <c r="F6" s="5"/>
      <c r="G6" s="35"/>
      <c r="H6" s="14"/>
      <c r="I6" s="1" t="s">
        <v>0</v>
      </c>
    </row>
    <row r="7" spans="1:9" x14ac:dyDescent="0.2">
      <c r="A7" s="102"/>
      <c r="B7" s="35"/>
      <c r="C7" s="5"/>
      <c r="D7" s="5"/>
      <c r="E7" s="35"/>
      <c r="F7" s="5"/>
      <c r="G7" s="74" t="s">
        <v>3</v>
      </c>
      <c r="H7" s="34">
        <v>42186</v>
      </c>
      <c r="I7" s="1" t="s">
        <v>0</v>
      </c>
    </row>
    <row r="8" spans="1:9" x14ac:dyDescent="0.2">
      <c r="A8" s="17" t="s">
        <v>4</v>
      </c>
      <c r="B8" s="35"/>
      <c r="C8" s="5"/>
      <c r="D8" s="5"/>
      <c r="E8" s="35"/>
      <c r="F8" s="5"/>
      <c r="G8" s="35"/>
      <c r="H8" s="14"/>
      <c r="I8" s="1" t="s">
        <v>0</v>
      </c>
    </row>
    <row r="9" spans="1:9" x14ac:dyDescent="0.2">
      <c r="A9" s="5"/>
      <c r="B9" s="35"/>
      <c r="C9" s="5"/>
      <c r="D9" s="5"/>
      <c r="E9" s="35"/>
      <c r="F9" s="5"/>
      <c r="G9" s="35"/>
      <c r="H9" s="14"/>
    </row>
    <row r="10" spans="1:9" s="37" customFormat="1" x14ac:dyDescent="0.2">
      <c r="A10" s="38" t="s">
        <v>5</v>
      </c>
      <c r="B10" s="39" t="s">
        <v>6</v>
      </c>
      <c r="C10" s="39" t="s">
        <v>7</v>
      </c>
      <c r="D10" s="39" t="s">
        <v>8</v>
      </c>
      <c r="E10" s="39" t="s">
        <v>9</v>
      </c>
      <c r="F10" s="79"/>
      <c r="G10" s="39" t="s">
        <v>10</v>
      </c>
      <c r="H10" s="80" t="s">
        <v>11</v>
      </c>
    </row>
    <row r="11" spans="1:9" s="37" customFormat="1" x14ac:dyDescent="0.2">
      <c r="A11" s="38"/>
      <c r="B11" s="39" t="s">
        <v>12</v>
      </c>
      <c r="C11" s="39" t="s">
        <v>13</v>
      </c>
      <c r="D11" s="39"/>
      <c r="E11" s="39" t="s">
        <v>13</v>
      </c>
      <c r="F11" s="79"/>
      <c r="G11" s="39" t="s">
        <v>14</v>
      </c>
      <c r="H11" s="80" t="s">
        <v>15</v>
      </c>
    </row>
    <row r="12" spans="1:9" s="37" customFormat="1" x14ac:dyDescent="0.2">
      <c r="A12" s="40"/>
      <c r="B12" s="40"/>
      <c r="C12" s="40"/>
      <c r="D12" s="40"/>
      <c r="E12" s="40"/>
      <c r="F12" s="35"/>
      <c r="G12" s="40"/>
      <c r="H12" s="66"/>
    </row>
    <row r="13" spans="1:9" s="37" customFormat="1" x14ac:dyDescent="0.2">
      <c r="A13" s="40" t="s">
        <v>16</v>
      </c>
      <c r="B13" s="51"/>
      <c r="C13" s="51"/>
      <c r="D13" s="51"/>
      <c r="E13" s="51"/>
      <c r="F13" s="81"/>
      <c r="G13" s="51"/>
      <c r="H13" s="66"/>
    </row>
    <row r="14" spans="1:9" s="47" customFormat="1" x14ac:dyDescent="0.2">
      <c r="A14" s="43" t="s">
        <v>17</v>
      </c>
      <c r="B14" s="44">
        <v>9372468.9199999999</v>
      </c>
      <c r="C14" s="44">
        <v>2908616.04</v>
      </c>
      <c r="D14" s="44">
        <v>0</v>
      </c>
      <c r="E14" s="44">
        <f>SUM(C14:D14)</f>
        <v>2908616.04</v>
      </c>
      <c r="F14" s="45"/>
      <c r="G14" s="44">
        <f>B14-E14</f>
        <v>6463852.8799999999</v>
      </c>
      <c r="H14" s="46">
        <f>E14/B14</f>
        <v>0.31033616273650977</v>
      </c>
    </row>
    <row r="15" spans="1:9" s="37" customFormat="1" x14ac:dyDescent="0.2">
      <c r="A15" s="40" t="s">
        <v>18</v>
      </c>
      <c r="B15" s="51">
        <v>-9201158.3399999999</v>
      </c>
      <c r="C15" s="51">
        <v>-418739.92</v>
      </c>
      <c r="D15" s="51">
        <v>-12536.32</v>
      </c>
      <c r="E15" s="51">
        <f>SUM(C15+D15)</f>
        <v>-431276.24</v>
      </c>
      <c r="F15" s="81"/>
      <c r="G15" s="51">
        <f>B15-E15</f>
        <v>-8769882.0999999996</v>
      </c>
      <c r="H15" s="66">
        <f>E15/B15</f>
        <v>4.6871950689634581E-2</v>
      </c>
    </row>
    <row r="16" spans="1:9" s="37" customFormat="1" x14ac:dyDescent="0.2">
      <c r="A16" s="40"/>
      <c r="B16" s="40"/>
      <c r="C16" s="51"/>
      <c r="D16" s="51"/>
      <c r="E16" s="51"/>
      <c r="F16" s="81"/>
      <c r="G16" s="51"/>
      <c r="H16" s="66"/>
    </row>
    <row r="17" spans="1:9" s="37" customFormat="1" x14ac:dyDescent="0.2">
      <c r="A17" s="40" t="s">
        <v>19</v>
      </c>
      <c r="B17" s="51"/>
      <c r="C17" s="51"/>
      <c r="D17" s="51"/>
      <c r="E17" s="51"/>
      <c r="F17" s="81"/>
      <c r="G17" s="51"/>
      <c r="H17" s="82"/>
    </row>
    <row r="18" spans="1:9" s="47" customFormat="1" x14ac:dyDescent="0.2">
      <c r="A18" s="43" t="s">
        <v>17</v>
      </c>
      <c r="B18" s="44">
        <v>377050</v>
      </c>
      <c r="C18" s="44">
        <v>4</v>
      </c>
      <c r="D18" s="44">
        <v>0</v>
      </c>
      <c r="E18" s="44">
        <f>SUM(C18:D18)</f>
        <v>4</v>
      </c>
      <c r="F18" s="45"/>
      <c r="G18" s="44">
        <f>B18-E18</f>
        <v>377046</v>
      </c>
      <c r="H18" s="46">
        <f>E18/B18</f>
        <v>1.0608672589842197E-5</v>
      </c>
    </row>
    <row r="19" spans="1:9" s="37" customFormat="1" x14ac:dyDescent="0.2">
      <c r="A19" s="40" t="s">
        <v>18</v>
      </c>
      <c r="B19" s="51">
        <v>-453158</v>
      </c>
      <c r="C19" s="51">
        <v>-4676.8500000000004</v>
      </c>
      <c r="D19" s="51">
        <v>0</v>
      </c>
      <c r="E19" s="51">
        <f>SUM(C19:D19)</f>
        <v>-4676.8500000000004</v>
      </c>
      <c r="F19" s="81"/>
      <c r="G19" s="51">
        <f>B19-E19</f>
        <v>-448481.15</v>
      </c>
      <c r="H19" s="66">
        <f>E19/B19</f>
        <v>1.0320572515546455E-2</v>
      </c>
    </row>
    <row r="20" spans="1:9" s="37" customFormat="1" x14ac:dyDescent="0.2">
      <c r="A20" s="40"/>
      <c r="B20" s="51"/>
      <c r="C20" s="51"/>
      <c r="D20" s="51"/>
      <c r="E20" s="51"/>
      <c r="F20" s="81"/>
      <c r="G20" s="51"/>
      <c r="H20" s="66"/>
    </row>
    <row r="21" spans="1:9" s="37" customFormat="1" x14ac:dyDescent="0.2">
      <c r="A21" s="40" t="s">
        <v>20</v>
      </c>
      <c r="B21" s="51"/>
      <c r="C21" s="51"/>
      <c r="D21" s="51"/>
      <c r="E21" s="51"/>
      <c r="F21" s="81"/>
      <c r="G21" s="51"/>
      <c r="H21" s="66"/>
    </row>
    <row r="22" spans="1:9" s="47" customFormat="1" x14ac:dyDescent="0.2">
      <c r="A22" s="43" t="s">
        <v>17</v>
      </c>
      <c r="B22" s="44">
        <v>223604</v>
      </c>
      <c r="C22" s="44">
        <v>-36752.839999999997</v>
      </c>
      <c r="D22" s="44">
        <v>0</v>
      </c>
      <c r="E22" s="44">
        <f>SUM(C22:D22)</f>
        <v>-36752.839999999997</v>
      </c>
      <c r="F22" s="45"/>
      <c r="G22" s="44">
        <f>B22-E22</f>
        <v>260356.84</v>
      </c>
      <c r="H22" s="46">
        <f>E22/B22</f>
        <v>-0.16436575374322462</v>
      </c>
    </row>
    <row r="23" spans="1:9" s="37" customFormat="1" x14ac:dyDescent="0.2">
      <c r="A23" s="40" t="s">
        <v>18</v>
      </c>
      <c r="B23" s="51">
        <v>-239333.32</v>
      </c>
      <c r="C23" s="51">
        <v>1506.73</v>
      </c>
      <c r="D23" s="51">
        <v>0</v>
      </c>
      <c r="E23" s="51">
        <f>SUM(C23:D23)</f>
        <v>1506.73</v>
      </c>
      <c r="F23" s="81"/>
      <c r="G23" s="51">
        <f>B23-E23</f>
        <v>-240840.05000000002</v>
      </c>
      <c r="H23" s="66">
        <f>E23/B23</f>
        <v>-6.2955295986367463E-3</v>
      </c>
    </row>
    <row r="24" spans="1:9" s="37" customFormat="1" x14ac:dyDescent="0.2">
      <c r="A24" s="40"/>
      <c r="B24" s="51"/>
      <c r="C24" s="51"/>
      <c r="D24" s="51"/>
      <c r="E24" s="51"/>
      <c r="F24" s="81"/>
      <c r="G24" s="51"/>
      <c r="H24" s="66"/>
    </row>
    <row r="25" spans="1:9" s="37" customFormat="1" x14ac:dyDescent="0.2">
      <c r="A25" s="40" t="s">
        <v>21</v>
      </c>
      <c r="B25" s="51"/>
      <c r="C25" s="51"/>
      <c r="D25" s="51"/>
      <c r="E25" s="51"/>
      <c r="F25" s="81"/>
      <c r="G25" s="51"/>
      <c r="H25" s="66"/>
    </row>
    <row r="26" spans="1:9" s="47" customFormat="1" x14ac:dyDescent="0.2">
      <c r="A26" s="43" t="s">
        <v>17</v>
      </c>
      <c r="B26" s="44">
        <v>0</v>
      </c>
      <c r="C26" s="44">
        <v>35524.160000000003</v>
      </c>
      <c r="D26" s="44">
        <v>0</v>
      </c>
      <c r="E26" s="44">
        <f>SUM(B26+C26+D26)</f>
        <v>35524.160000000003</v>
      </c>
      <c r="F26" s="45"/>
      <c r="G26" s="44">
        <f>B26-E26</f>
        <v>-35524.160000000003</v>
      </c>
      <c r="H26" s="46" t="e">
        <f>E26/B26</f>
        <v>#DIV/0!</v>
      </c>
    </row>
    <row r="27" spans="1:9" s="37" customFormat="1" x14ac:dyDescent="0.2">
      <c r="A27" s="40" t="s">
        <v>18</v>
      </c>
      <c r="B27" s="51">
        <v>0</v>
      </c>
      <c r="C27" s="51">
        <v>940710</v>
      </c>
      <c r="D27" s="51">
        <v>-150673.4</v>
      </c>
      <c r="E27" s="51">
        <f>SUM(C27+D27)</f>
        <v>790036.6</v>
      </c>
      <c r="F27" s="81"/>
      <c r="G27" s="51">
        <f>B27-E27</f>
        <v>-790036.6</v>
      </c>
      <c r="H27" s="66" t="e">
        <f>E27/B27</f>
        <v>#DIV/0!</v>
      </c>
    </row>
    <row r="28" spans="1:9" s="37" customFormat="1" x14ac:dyDescent="0.2">
      <c r="A28" s="40"/>
      <c r="B28" s="51"/>
      <c r="C28" s="51"/>
      <c r="D28" s="51"/>
      <c r="E28" s="51"/>
      <c r="F28" s="81"/>
      <c r="G28" s="51"/>
      <c r="H28" s="66"/>
    </row>
    <row r="29" spans="1:9" s="37" customFormat="1" x14ac:dyDescent="0.2">
      <c r="A29" s="40" t="s">
        <v>22</v>
      </c>
      <c r="B29" s="41"/>
      <c r="C29" s="41"/>
      <c r="D29" s="41"/>
      <c r="E29" s="51"/>
      <c r="F29" s="36"/>
      <c r="G29" s="51"/>
      <c r="H29" s="66"/>
      <c r="I29" s="37" t="s">
        <v>0</v>
      </c>
    </row>
    <row r="30" spans="1:9" s="47" customFormat="1" x14ac:dyDescent="0.2">
      <c r="A30" s="43" t="s">
        <v>17</v>
      </c>
      <c r="B30" s="49">
        <v>1988367</v>
      </c>
      <c r="C30" s="49">
        <v>-1429787</v>
      </c>
      <c r="D30" s="49">
        <v>0</v>
      </c>
      <c r="E30" s="44">
        <f>SUM(C30:D30)</f>
        <v>-1429787</v>
      </c>
      <c r="F30" s="50"/>
      <c r="G30" s="44">
        <f>B30-E30</f>
        <v>3418154</v>
      </c>
      <c r="H30" s="46">
        <f>E30/B30</f>
        <v>-0.71907600558649387</v>
      </c>
    </row>
    <row r="31" spans="1:9" s="37" customFormat="1" x14ac:dyDescent="0.2">
      <c r="A31" s="40" t="s">
        <v>18</v>
      </c>
      <c r="B31" s="41">
        <v>-1893894</v>
      </c>
      <c r="C31" s="41">
        <v>-476947.49</v>
      </c>
      <c r="D31" s="41">
        <v>0</v>
      </c>
      <c r="E31" s="51">
        <f>SUM(C31:D31)</f>
        <v>-476947.49</v>
      </c>
      <c r="F31" s="36"/>
      <c r="G31" s="51">
        <f>B31-E31</f>
        <v>-1416946.51</v>
      </c>
      <c r="H31" s="66">
        <f>E31/B31</f>
        <v>0.25183431068475848</v>
      </c>
    </row>
    <row r="32" spans="1:9" s="37" customFormat="1" x14ac:dyDescent="0.2">
      <c r="A32" s="40"/>
      <c r="B32" s="41"/>
      <c r="C32" s="41"/>
      <c r="D32" s="41"/>
      <c r="E32" s="51"/>
      <c r="F32" s="36"/>
      <c r="G32" s="51"/>
      <c r="H32" s="66"/>
      <c r="I32" s="37" t="s">
        <v>0</v>
      </c>
    </row>
    <row r="33" spans="1:9" s="37" customFormat="1" x14ac:dyDescent="0.2">
      <c r="A33" s="40" t="s">
        <v>23</v>
      </c>
      <c r="B33" s="41"/>
      <c r="C33" s="41"/>
      <c r="D33" s="41"/>
      <c r="E33" s="51"/>
      <c r="F33" s="36"/>
      <c r="G33" s="51"/>
      <c r="H33" s="66"/>
      <c r="I33" s="37" t="s">
        <v>0</v>
      </c>
    </row>
    <row r="34" spans="1:9" s="47" customFormat="1" x14ac:dyDescent="0.2">
      <c r="A34" s="43" t="s">
        <v>17</v>
      </c>
      <c r="B34" s="49">
        <v>10800</v>
      </c>
      <c r="C34" s="49">
        <v>1000</v>
      </c>
      <c r="D34" s="49">
        <v>0</v>
      </c>
      <c r="E34" s="44">
        <f>SUM(C34:D34)</f>
        <v>1000</v>
      </c>
      <c r="F34" s="50"/>
      <c r="G34" s="44">
        <f>B34-E34</f>
        <v>9800</v>
      </c>
      <c r="H34" s="46">
        <f>E34/B34</f>
        <v>9.2592592592592587E-2</v>
      </c>
    </row>
    <row r="35" spans="1:9" s="37" customFormat="1" x14ac:dyDescent="0.2">
      <c r="A35" s="40" t="s">
        <v>18</v>
      </c>
      <c r="B35" s="41">
        <v>-10800</v>
      </c>
      <c r="C35" s="41">
        <v>-1000</v>
      </c>
      <c r="D35" s="41">
        <v>0</v>
      </c>
      <c r="E35" s="51">
        <f>SUM(C35:D35)</f>
        <v>-1000</v>
      </c>
      <c r="F35" s="36"/>
      <c r="G35" s="51">
        <f>B35-E35</f>
        <v>-9800</v>
      </c>
      <c r="H35" s="66">
        <f>E35/B35</f>
        <v>9.2592592592592587E-2</v>
      </c>
    </row>
    <row r="36" spans="1:9" s="37" customFormat="1" x14ac:dyDescent="0.2">
      <c r="A36" s="40"/>
      <c r="B36" s="41"/>
      <c r="C36" s="41"/>
      <c r="D36" s="41"/>
      <c r="E36" s="51"/>
      <c r="F36" s="36"/>
      <c r="G36" s="51"/>
      <c r="H36" s="66"/>
    </row>
    <row r="37" spans="1:9" s="37" customFormat="1" x14ac:dyDescent="0.2">
      <c r="A37" s="40" t="s">
        <v>24</v>
      </c>
      <c r="B37" s="41"/>
      <c r="C37" s="41"/>
      <c r="D37" s="41"/>
      <c r="E37" s="51"/>
      <c r="F37" s="36"/>
      <c r="G37" s="51"/>
      <c r="H37" s="66"/>
      <c r="I37" s="37" t="s">
        <v>0</v>
      </c>
    </row>
    <row r="38" spans="1:9" s="47" customFormat="1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SUM(C38:D38)</f>
        <v>0</v>
      </c>
      <c r="F38" s="50"/>
      <c r="G38" s="44">
        <f>B38-E38</f>
        <v>0</v>
      </c>
      <c r="H38" s="46" t="e">
        <f>E38/B38</f>
        <v>#DIV/0!</v>
      </c>
    </row>
    <row r="39" spans="1:9" s="37" customFormat="1" x14ac:dyDescent="0.2">
      <c r="A39" s="40" t="s">
        <v>18</v>
      </c>
      <c r="B39" s="41">
        <v>0</v>
      </c>
      <c r="C39" s="41">
        <v>0</v>
      </c>
      <c r="D39" s="41">
        <v>0</v>
      </c>
      <c r="E39" s="51">
        <f>SUM(C39:D39)</f>
        <v>0</v>
      </c>
      <c r="F39" s="36"/>
      <c r="G39" s="51">
        <f>B39-E39</f>
        <v>0</v>
      </c>
      <c r="H39" s="66" t="e">
        <f>E39/B39</f>
        <v>#DIV/0!</v>
      </c>
    </row>
    <row r="40" spans="1:9" s="37" customFormat="1" x14ac:dyDescent="0.2">
      <c r="A40" s="40"/>
      <c r="B40" s="41"/>
      <c r="C40" s="41"/>
      <c r="D40" s="41"/>
      <c r="E40" s="51"/>
      <c r="F40" s="36"/>
      <c r="G40" s="51"/>
      <c r="H40" s="66"/>
    </row>
    <row r="41" spans="1:9" s="37" customFormat="1" x14ac:dyDescent="0.2">
      <c r="A41" s="40" t="s">
        <v>25</v>
      </c>
      <c r="B41" s="41"/>
      <c r="C41" s="41"/>
      <c r="D41" s="41"/>
      <c r="E41" s="51"/>
      <c r="F41" s="36"/>
      <c r="G41" s="51"/>
      <c r="H41" s="66"/>
    </row>
    <row r="42" spans="1:9" s="47" customFormat="1" x14ac:dyDescent="0.2">
      <c r="A42" s="43" t="s">
        <v>17</v>
      </c>
      <c r="B42" s="49">
        <v>95805.37</v>
      </c>
      <c r="C42" s="49">
        <v>800</v>
      </c>
      <c r="D42" s="49">
        <v>0</v>
      </c>
      <c r="E42" s="44">
        <f>SUM(C42:D42)</f>
        <v>800</v>
      </c>
      <c r="F42" s="50"/>
      <c r="G42" s="44">
        <f>B42-E42</f>
        <v>95005.37</v>
      </c>
      <c r="H42" s="46">
        <f>E42/B42</f>
        <v>8.3502626209783441E-3</v>
      </c>
    </row>
    <row r="43" spans="1:9" s="37" customFormat="1" x14ac:dyDescent="0.2">
      <c r="A43" s="40" t="s">
        <v>18</v>
      </c>
      <c r="B43" s="41">
        <v>-95805.37</v>
      </c>
      <c r="C43" s="41">
        <v>-16386.55</v>
      </c>
      <c r="D43" s="41">
        <v>0</v>
      </c>
      <c r="E43" s="51">
        <f>SUM(C43:D43)</f>
        <v>-16386.55</v>
      </c>
      <c r="F43" s="36"/>
      <c r="G43" s="51">
        <f>B43-E43</f>
        <v>-79418.819999999992</v>
      </c>
      <c r="H43" s="66">
        <f>E43/B43</f>
        <v>0.17103999493974084</v>
      </c>
    </row>
    <row r="44" spans="1:9" s="37" customFormat="1" x14ac:dyDescent="0.2">
      <c r="A44" s="40"/>
      <c r="B44" s="41"/>
      <c r="C44" s="41"/>
      <c r="D44" s="41"/>
      <c r="E44" s="51"/>
      <c r="F44" s="36"/>
      <c r="G44" s="51"/>
      <c r="H44" s="66"/>
    </row>
    <row r="45" spans="1:9" s="37" customFormat="1" x14ac:dyDescent="0.2">
      <c r="A45" s="40" t="s">
        <v>26</v>
      </c>
      <c r="B45" s="41"/>
      <c r="C45" s="41"/>
      <c r="D45" s="41"/>
      <c r="E45" s="51"/>
      <c r="F45" s="36"/>
      <c r="G45" s="51"/>
      <c r="H45" s="66"/>
    </row>
    <row r="46" spans="1:9" s="47" customFormat="1" x14ac:dyDescent="0.2">
      <c r="A46" s="43" t="s">
        <v>17</v>
      </c>
      <c r="B46" s="49">
        <v>6700</v>
      </c>
      <c r="C46" s="49">
        <v>0</v>
      </c>
      <c r="D46" s="49">
        <v>0</v>
      </c>
      <c r="E46" s="44">
        <f>SUM(C46:D46)</f>
        <v>0</v>
      </c>
      <c r="F46" s="50"/>
      <c r="G46" s="44">
        <f>B46-E46</f>
        <v>6700</v>
      </c>
      <c r="H46" s="46">
        <f>E46/B46</f>
        <v>0</v>
      </c>
    </row>
    <row r="47" spans="1:9" s="37" customFormat="1" x14ac:dyDescent="0.2">
      <c r="A47" s="40" t="s">
        <v>18</v>
      </c>
      <c r="B47" s="41">
        <v>-74979</v>
      </c>
      <c r="C47" s="41">
        <v>0</v>
      </c>
      <c r="D47" s="41">
        <v>0</v>
      </c>
      <c r="E47" s="51">
        <f>SUM(C47:D47)</f>
        <v>0</v>
      </c>
      <c r="F47" s="36"/>
      <c r="G47" s="51">
        <f>B47-E47</f>
        <v>-74979</v>
      </c>
      <c r="H47" s="66">
        <f>E47/B47</f>
        <v>0</v>
      </c>
    </row>
    <row r="48" spans="1:9" s="37" customFormat="1" x14ac:dyDescent="0.2">
      <c r="A48" s="40"/>
      <c r="B48" s="41"/>
      <c r="C48" s="41"/>
      <c r="D48" s="41"/>
      <c r="E48" s="51"/>
      <c r="F48" s="36"/>
      <c r="G48" s="51"/>
      <c r="H48" s="66"/>
    </row>
    <row r="49" spans="1:9" s="37" customFormat="1" x14ac:dyDescent="0.2">
      <c r="A49" s="40" t="s">
        <v>27</v>
      </c>
      <c r="B49" s="41"/>
      <c r="C49" s="41"/>
      <c r="D49" s="41"/>
      <c r="E49" s="51"/>
      <c r="F49" s="36"/>
      <c r="G49" s="51"/>
      <c r="H49" s="66"/>
    </row>
    <row r="50" spans="1:9" s="47" customFormat="1" x14ac:dyDescent="0.2">
      <c r="A50" s="43" t="s">
        <v>17</v>
      </c>
      <c r="B50" s="49">
        <v>138887</v>
      </c>
      <c r="C50" s="49">
        <v>-133301</v>
      </c>
      <c r="D50" s="49">
        <v>0</v>
      </c>
      <c r="E50" s="44">
        <f>SUM(C50:D50)</f>
        <v>-133301</v>
      </c>
      <c r="F50" s="50"/>
      <c r="G50" s="44">
        <f>B50-E50</f>
        <v>272188</v>
      </c>
      <c r="H50" s="46">
        <f>E50/B50</f>
        <v>-0.95978025301144099</v>
      </c>
    </row>
    <row r="51" spans="1:9" s="37" customFormat="1" x14ac:dyDescent="0.2">
      <c r="A51" s="40" t="s">
        <v>18</v>
      </c>
      <c r="B51" s="41">
        <v>-133212.5</v>
      </c>
      <c r="C51" s="41">
        <v>-14506.25</v>
      </c>
      <c r="D51" s="41">
        <v>0</v>
      </c>
      <c r="E51" s="51">
        <f>C51</f>
        <v>-14506.25</v>
      </c>
      <c r="F51" s="36"/>
      <c r="G51" s="51">
        <f>B51-E51</f>
        <v>-118706.25</v>
      </c>
      <c r="H51" s="66">
        <f>E51/B51</f>
        <v>0.10889556160270245</v>
      </c>
    </row>
    <row r="52" spans="1:9" s="37" customFormat="1" x14ac:dyDescent="0.2">
      <c r="A52" s="40"/>
      <c r="B52" s="41"/>
      <c r="C52" s="41"/>
      <c r="D52" s="41"/>
      <c r="E52" s="51"/>
      <c r="F52" s="36"/>
      <c r="G52" s="51"/>
      <c r="H52" s="66"/>
      <c r="I52" s="37" t="s">
        <v>0</v>
      </c>
    </row>
    <row r="53" spans="1:9" s="37" customFormat="1" x14ac:dyDescent="0.2">
      <c r="A53" s="40"/>
      <c r="B53" s="41"/>
      <c r="C53" s="41"/>
      <c r="D53" s="41"/>
      <c r="E53" s="40"/>
      <c r="F53" s="35"/>
      <c r="G53" s="40"/>
      <c r="H53" s="66"/>
      <c r="I53" s="37" t="s">
        <v>0</v>
      </c>
    </row>
    <row r="54" spans="1:9" s="47" customFormat="1" x14ac:dyDescent="0.2">
      <c r="A54" s="48" t="s">
        <v>28</v>
      </c>
      <c r="B54" s="49">
        <f>SUM(B14+B18+B22+B30+B34+B38+B42+B46+B50)</f>
        <v>12213682.289999999</v>
      </c>
      <c r="C54" s="49">
        <f>SUM(C14+C18+C22+C30+C38+C42+C34+C46+C50+C26)</f>
        <v>1346103.36</v>
      </c>
      <c r="D54" s="49">
        <f>SUM(D14+D18+D22+D30+D34+D38+D42+D46+D50)</f>
        <v>0</v>
      </c>
      <c r="E54" s="49">
        <f>SUM(E14+E18+E22+E30+E34+E38+E42+E46+E50+E26)</f>
        <v>1346103.36</v>
      </c>
      <c r="F54" s="50"/>
      <c r="G54" s="49">
        <f>SUM(G14+G18+G22+G30+G34+G38+G42+G46+G50+G26)</f>
        <v>10867578.929999998</v>
      </c>
      <c r="H54" s="46">
        <f>E54/B54</f>
        <v>0.11021273748885113</v>
      </c>
    </row>
    <row r="55" spans="1:9" s="37" customFormat="1" x14ac:dyDescent="0.2">
      <c r="A55" s="83" t="s">
        <v>29</v>
      </c>
      <c r="B55" s="41">
        <f>SUM(B15+B19+B23+B31+B35+B39+B43+B47+B51+B27)</f>
        <v>-12102340.529999999</v>
      </c>
      <c r="C55" s="41">
        <f>SUM(C15+C20+C19+C23+C31+C35+C39+C43+C47+C51+C27)</f>
        <v>9959.6699999999255</v>
      </c>
      <c r="D55" s="41">
        <f>SUM(D15+D19+D23+D27+D31+D35+D39+D43+D47+D51)</f>
        <v>-163209.72</v>
      </c>
      <c r="E55" s="41">
        <f>SUM(E15+E19+E23+E31+E35+E39+E43+E47+E51+E27)</f>
        <v>-153250.05000000005</v>
      </c>
      <c r="F55" s="36"/>
      <c r="G55" s="41">
        <f>SUM(G15+G19+G23+G31+G35+G39+G43+G47+G51+G27)</f>
        <v>-11949090.48</v>
      </c>
      <c r="H55" s="66">
        <f>E55/B55</f>
        <v>1.2662843986261562E-2</v>
      </c>
    </row>
    <row r="56" spans="1:9" s="37" customFormat="1" x14ac:dyDescent="0.2">
      <c r="A56" s="40"/>
      <c r="B56" s="51"/>
      <c r="C56" s="51"/>
      <c r="D56" s="51"/>
      <c r="E56" s="51"/>
      <c r="F56" s="81"/>
      <c r="G56" s="51"/>
      <c r="H56" s="66"/>
    </row>
    <row r="57" spans="1:9" x14ac:dyDescent="0.2">
      <c r="A57" s="5"/>
      <c r="B57" s="35"/>
      <c r="C57" s="5"/>
      <c r="D57" s="5"/>
      <c r="E57" s="35"/>
      <c r="F57" s="5"/>
      <c r="G57" s="35"/>
      <c r="H57" s="14"/>
    </row>
    <row r="58" spans="1:9" ht="15" x14ac:dyDescent="0.3">
      <c r="A58" s="105"/>
      <c r="B58" s="105"/>
      <c r="C58" s="105"/>
      <c r="D58" s="105"/>
      <c r="E58" s="105"/>
      <c r="F58" s="105"/>
      <c r="G58" s="105"/>
      <c r="H58" s="105"/>
    </row>
    <row r="59" spans="1:9" x14ac:dyDescent="0.2">
      <c r="A59" s="2"/>
      <c r="I59" s="1" t="s">
        <v>0</v>
      </c>
    </row>
    <row r="60" spans="1:9" x14ac:dyDescent="0.2">
      <c r="A60" s="2"/>
    </row>
    <row r="61" spans="1:9" x14ac:dyDescent="0.2">
      <c r="A61" s="2"/>
      <c r="B61" s="1"/>
      <c r="D61" s="6"/>
      <c r="E61" s="72"/>
      <c r="F61" s="3"/>
      <c r="G61" s="72"/>
      <c r="H61" s="9"/>
    </row>
    <row r="62" spans="1:9" ht="23.25" x14ac:dyDescent="0.35">
      <c r="A62" s="2"/>
      <c r="B62" s="1"/>
      <c r="D62" s="6"/>
      <c r="E62" s="72"/>
      <c r="F62" s="3"/>
      <c r="G62" s="75"/>
      <c r="H62"/>
    </row>
    <row r="63" spans="1:9" ht="15" x14ac:dyDescent="0.2">
      <c r="B63" s="1"/>
      <c r="D63" s="8"/>
      <c r="E63" s="73"/>
      <c r="F63" s="4"/>
      <c r="G63" s="76"/>
      <c r="H63"/>
    </row>
    <row r="64" spans="1:9" ht="15.75" x14ac:dyDescent="0.25">
      <c r="A64" s="38"/>
      <c r="B64" s="39"/>
      <c r="C64" s="39"/>
      <c r="D64" s="8"/>
      <c r="E64" s="73"/>
      <c r="F64" s="4"/>
      <c r="G64" s="77"/>
      <c r="H64" s="54"/>
    </row>
    <row r="65" spans="1:8" ht="15" x14ac:dyDescent="0.25">
      <c r="A65" s="38"/>
      <c r="B65" s="39"/>
      <c r="C65" s="39"/>
      <c r="D65" s="8"/>
      <c r="E65" s="73"/>
      <c r="F65" s="4"/>
      <c r="G65" s="78"/>
      <c r="H65" s="58"/>
    </row>
    <row r="66" spans="1:8" ht="15" x14ac:dyDescent="0.25">
      <c r="A66" s="40"/>
      <c r="B66" s="52"/>
      <c r="C66" s="52"/>
      <c r="D66" s="8"/>
      <c r="E66" s="73"/>
      <c r="F66" s="4"/>
      <c r="G66" s="78"/>
      <c r="H66" s="58"/>
    </row>
    <row r="67" spans="1:8" ht="15" x14ac:dyDescent="0.25">
      <c r="A67" s="40"/>
      <c r="B67" s="52"/>
      <c r="C67" s="52"/>
      <c r="D67" s="8"/>
      <c r="E67" s="73"/>
      <c r="F67" s="4"/>
      <c r="G67" s="78"/>
      <c r="H67" s="58"/>
    </row>
    <row r="68" spans="1:8" ht="15" x14ac:dyDescent="0.25">
      <c r="A68" s="40"/>
      <c r="B68" s="52"/>
      <c r="C68" s="52"/>
      <c r="G68" s="78"/>
      <c r="H68" s="58"/>
    </row>
    <row r="69" spans="1:8" ht="15" x14ac:dyDescent="0.25">
      <c r="A69" s="40"/>
      <c r="B69" s="52"/>
      <c r="C69" s="52"/>
      <c r="G69" s="78"/>
      <c r="H69" s="58"/>
    </row>
    <row r="70" spans="1:8" ht="15" x14ac:dyDescent="0.25">
      <c r="A70" s="40"/>
      <c r="B70" s="52"/>
      <c r="C70" s="52"/>
      <c r="G70" s="78"/>
      <c r="H70" s="58"/>
    </row>
    <row r="71" spans="1:8" ht="15" x14ac:dyDescent="0.25">
      <c r="A71" s="40"/>
      <c r="B71" s="52"/>
      <c r="C71" s="52"/>
      <c r="G71" s="78"/>
      <c r="H71" s="58"/>
    </row>
    <row r="72" spans="1:8" ht="15" x14ac:dyDescent="0.25">
      <c r="A72" s="40"/>
      <c r="B72" s="52"/>
      <c r="C72" s="52"/>
      <c r="G72" s="78"/>
      <c r="H72" s="58"/>
    </row>
    <row r="73" spans="1:8" ht="15" x14ac:dyDescent="0.25">
      <c r="A73" s="20"/>
      <c r="B73" s="52"/>
      <c r="C73" s="52"/>
      <c r="G73" s="78"/>
      <c r="H73" s="58"/>
    </row>
    <row r="74" spans="1:8" ht="14.25" x14ac:dyDescent="0.2">
      <c r="A74" s="20"/>
      <c r="B74" s="52"/>
      <c r="C74" s="52"/>
      <c r="H74" s="58"/>
    </row>
    <row r="75" spans="1:8" ht="16.5" thickBot="1" x14ac:dyDescent="0.3">
      <c r="A75" s="20"/>
      <c r="B75" s="52"/>
      <c r="C75" s="52"/>
      <c r="G75" s="76"/>
      <c r="H75" s="57"/>
    </row>
    <row r="76" spans="1:8" ht="15.75" thickTop="1" x14ac:dyDescent="0.2">
      <c r="A76" s="20"/>
      <c r="B76" s="52"/>
      <c r="C76" s="52"/>
      <c r="G76" s="76"/>
      <c r="H76"/>
    </row>
    <row r="77" spans="1:8" x14ac:dyDescent="0.2">
      <c r="A77" s="20"/>
      <c r="B77" s="52"/>
      <c r="C77" s="52"/>
    </row>
    <row r="78" spans="1:8" x14ac:dyDescent="0.2">
      <c r="A78" s="20"/>
      <c r="B78" s="52"/>
      <c r="C78" s="52"/>
    </row>
    <row r="79" spans="1:8" x14ac:dyDescent="0.2">
      <c r="A79" s="20"/>
      <c r="B79" s="52"/>
      <c r="C79" s="52"/>
    </row>
    <row r="80" spans="1:8" x14ac:dyDescent="0.2">
      <c r="A80" s="20"/>
      <c r="B80" s="52"/>
      <c r="C80" s="52"/>
    </row>
    <row r="81" spans="1:3" x14ac:dyDescent="0.2">
      <c r="A81" s="63"/>
      <c r="B81" s="64"/>
      <c r="C81" s="64"/>
    </row>
    <row r="82" spans="1:3" x14ac:dyDescent="0.2">
      <c r="A82" s="85"/>
      <c r="B82" s="86"/>
      <c r="C82" s="86"/>
    </row>
    <row r="83" spans="1:3" x14ac:dyDescent="0.2">
      <c r="A83" s="35"/>
      <c r="B83" s="56"/>
      <c r="C83" s="56"/>
    </row>
    <row r="84" spans="1:3" x14ac:dyDescent="0.2">
      <c r="A84" s="38"/>
      <c r="B84" s="52"/>
      <c r="C84" s="52"/>
    </row>
    <row r="85" spans="1:3" x14ac:dyDescent="0.2">
      <c r="A85" s="40"/>
      <c r="B85" s="69"/>
      <c r="C85" s="69"/>
    </row>
    <row r="86" spans="1:3" x14ac:dyDescent="0.2">
      <c r="A86" s="40"/>
      <c r="B86" s="69"/>
      <c r="C86" s="69"/>
    </row>
    <row r="87" spans="1:3" x14ac:dyDescent="0.2">
      <c r="A87" s="40"/>
      <c r="B87" s="69"/>
      <c r="C87" s="69"/>
    </row>
    <row r="88" spans="1:3" ht="15" x14ac:dyDescent="0.35">
      <c r="A88" s="42"/>
      <c r="B88" s="65"/>
      <c r="C88" s="65"/>
    </row>
    <row r="89" spans="1:3" x14ac:dyDescent="0.2">
      <c r="A89" s="87"/>
      <c r="B89" s="12"/>
      <c r="C89" s="12"/>
    </row>
    <row r="90" spans="1:3" x14ac:dyDescent="0.2">
      <c r="B90" s="1"/>
    </row>
    <row r="91" spans="1:3" x14ac:dyDescent="0.2">
      <c r="B91" s="1"/>
    </row>
    <row r="92" spans="1:3" x14ac:dyDescent="0.2">
      <c r="B92" s="1"/>
    </row>
  </sheetData>
  <mergeCells count="4">
    <mergeCell ref="A2:H2"/>
    <mergeCell ref="A3:H3"/>
    <mergeCell ref="A4:H4"/>
    <mergeCell ref="A58:H58"/>
  </mergeCells>
  <phoneticPr fontId="3" type="noConversion"/>
  <pageMargins left="0.5" right="0.3" top="0.5" bottom="0.5" header="0.5" footer="0.5"/>
  <pageSetup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45" zoomScaleNormal="100" workbookViewId="0">
      <selection activeCell="A58" sqref="A58:C84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0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0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"/>
      <c r="J2" s="5"/>
    </row>
    <row r="3" spans="1:10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"/>
      <c r="J3" s="5"/>
    </row>
    <row r="4" spans="1:10" ht="15" x14ac:dyDescent="0.3">
      <c r="A4" s="104"/>
      <c r="B4" s="104"/>
      <c r="C4" s="104"/>
      <c r="D4" s="104"/>
      <c r="E4" s="104"/>
      <c r="F4" s="104"/>
      <c r="G4" s="104"/>
      <c r="H4" s="104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14"/>
      <c r="I5" s="5"/>
      <c r="J5" s="5"/>
    </row>
    <row r="6" spans="1:10" x14ac:dyDescent="0.2">
      <c r="A6" s="5"/>
      <c r="B6" s="15"/>
      <c r="C6" s="5"/>
      <c r="D6" s="5"/>
      <c r="E6" s="5"/>
      <c r="F6" s="5"/>
      <c r="G6" s="5"/>
      <c r="H6" s="14"/>
      <c r="I6" s="5"/>
      <c r="J6" s="5"/>
    </row>
    <row r="7" spans="1:10" x14ac:dyDescent="0.2">
      <c r="A7" s="102"/>
      <c r="B7" s="5"/>
      <c r="C7" s="5"/>
      <c r="D7" s="5"/>
      <c r="E7" s="5"/>
      <c r="F7" s="5"/>
      <c r="G7" s="16" t="s">
        <v>3</v>
      </c>
      <c r="H7" s="34">
        <v>42461</v>
      </c>
      <c r="I7" s="5"/>
      <c r="J7" s="5"/>
    </row>
    <row r="8" spans="1:10" x14ac:dyDescent="0.2">
      <c r="A8" s="17" t="s">
        <v>4</v>
      </c>
      <c r="B8" s="5"/>
      <c r="C8" s="5"/>
      <c r="D8" s="5"/>
      <c r="E8" s="5"/>
      <c r="F8" s="5"/>
      <c r="G8" s="5"/>
      <c r="H8" s="14"/>
      <c r="I8" s="5"/>
      <c r="J8" s="5"/>
    </row>
    <row r="9" spans="1:10" x14ac:dyDescent="0.2">
      <c r="A9" s="5"/>
      <c r="B9" s="5"/>
      <c r="C9" s="5"/>
      <c r="D9" s="5"/>
      <c r="E9" s="5"/>
      <c r="F9" s="5"/>
      <c r="G9" s="5"/>
      <c r="H9" s="14"/>
      <c r="I9" s="5"/>
      <c r="J9" s="5"/>
    </row>
    <row r="10" spans="1:10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  <c r="I10" s="5"/>
      <c r="J10" s="5"/>
    </row>
    <row r="11" spans="1:10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  <c r="I11" s="5"/>
      <c r="J11" s="5"/>
    </row>
    <row r="12" spans="1:10" x14ac:dyDescent="0.2">
      <c r="A12" s="20"/>
      <c r="B12" s="20"/>
      <c r="C12" s="20"/>
      <c r="D12" s="20"/>
      <c r="E12" s="20"/>
      <c r="F12" s="5"/>
      <c r="G12" s="20"/>
      <c r="H12" s="26"/>
      <c r="I12" s="5"/>
      <c r="J12" s="5"/>
    </row>
    <row r="13" spans="1:10" x14ac:dyDescent="0.2">
      <c r="A13" s="20" t="s">
        <v>16</v>
      </c>
      <c r="B13" s="21"/>
      <c r="C13" s="21"/>
      <c r="D13" s="21"/>
      <c r="E13" s="21"/>
      <c r="F13" s="7"/>
      <c r="G13" s="21"/>
      <c r="H13" s="26"/>
      <c r="I13" s="5"/>
      <c r="J13" s="5"/>
    </row>
    <row r="14" spans="1:10" x14ac:dyDescent="0.2">
      <c r="A14" s="43" t="s">
        <v>17</v>
      </c>
      <c r="B14" s="44">
        <v>9682442.5299999993</v>
      </c>
      <c r="C14" s="44">
        <v>1103427.01</v>
      </c>
      <c r="D14" s="44">
        <v>0</v>
      </c>
      <c r="E14" s="44">
        <f>SUM(D14+C14+Mar!E12)</f>
        <v>10743299.77</v>
      </c>
      <c r="F14" s="45"/>
      <c r="G14" s="44">
        <f>B14-E14</f>
        <v>-1060857.2400000002</v>
      </c>
      <c r="H14" s="46">
        <f>E14/B14</f>
        <v>1.109565043811316</v>
      </c>
      <c r="I14" s="5"/>
      <c r="J14" s="5"/>
    </row>
    <row r="15" spans="1:10" x14ac:dyDescent="0.2">
      <c r="A15" s="20" t="s">
        <v>18</v>
      </c>
      <c r="B15" s="51">
        <v>-9743536.1199999992</v>
      </c>
      <c r="C15" s="21">
        <v>-829043.11</v>
      </c>
      <c r="D15" s="21">
        <v>-26776.77</v>
      </c>
      <c r="E15" s="21">
        <v>-7086823.5999999996</v>
      </c>
      <c r="F15" s="7"/>
      <c r="G15" s="21">
        <f>B15-E15</f>
        <v>-2656712.5199999996</v>
      </c>
      <c r="H15" s="26">
        <f>E15/B15</f>
        <v>0.72733589866345161</v>
      </c>
      <c r="I15" s="5"/>
      <c r="J15" s="5"/>
    </row>
    <row r="16" spans="1:10" x14ac:dyDescent="0.2">
      <c r="A16" s="20"/>
      <c r="B16" s="40"/>
      <c r="C16" s="21"/>
      <c r="D16" s="21"/>
      <c r="E16" s="21"/>
      <c r="F16" s="7"/>
      <c r="G16" s="21"/>
      <c r="H16" s="26"/>
      <c r="I16" s="5"/>
      <c r="J16" s="5"/>
    </row>
    <row r="17" spans="1:12" x14ac:dyDescent="0.2">
      <c r="A17" s="20" t="s">
        <v>19</v>
      </c>
      <c r="B17" s="51"/>
      <c r="C17" s="21"/>
      <c r="D17" s="21"/>
      <c r="E17" s="21"/>
      <c r="F17" s="7"/>
      <c r="G17" s="21"/>
      <c r="H17" s="27"/>
      <c r="I17" s="5"/>
      <c r="J17" s="5"/>
    </row>
    <row r="18" spans="1:12" x14ac:dyDescent="0.2">
      <c r="A18" s="43" t="s">
        <v>17</v>
      </c>
      <c r="B18" s="44">
        <v>415476</v>
      </c>
      <c r="C18" s="44">
        <v>55364.92</v>
      </c>
      <c r="D18" s="44">
        <v>0</v>
      </c>
      <c r="E18" s="44">
        <f>SUM(D18+C18+Mar!E16)</f>
        <v>372299.72999999992</v>
      </c>
      <c r="F18" s="45"/>
      <c r="G18" s="44">
        <f>B18-E18</f>
        <v>43176.270000000077</v>
      </c>
      <c r="H18" s="46">
        <f>E18/B18</f>
        <v>0.896079990179938</v>
      </c>
      <c r="I18" s="5"/>
      <c r="J18" s="5"/>
    </row>
    <row r="19" spans="1:12" x14ac:dyDescent="0.2">
      <c r="A19" s="20" t="s">
        <v>18</v>
      </c>
      <c r="B19" s="51">
        <v>-496531</v>
      </c>
      <c r="C19" s="21">
        <v>-48516.12</v>
      </c>
      <c r="D19" s="21">
        <v>0</v>
      </c>
      <c r="E19" s="21">
        <f>SUM(C19+D19+Mar!E17-Mar!D17)</f>
        <v>-371085.19999999995</v>
      </c>
      <c r="F19" s="7"/>
      <c r="G19" s="21">
        <f>B19-E19</f>
        <v>-125445.80000000005</v>
      </c>
      <c r="H19" s="26">
        <f>E19/B19</f>
        <v>0.74735555282550326</v>
      </c>
      <c r="I19" s="5"/>
      <c r="J19" s="5"/>
      <c r="L19" s="33"/>
    </row>
    <row r="20" spans="1:12" x14ac:dyDescent="0.2">
      <c r="A20" s="20"/>
      <c r="B20" s="51"/>
      <c r="C20" s="21"/>
      <c r="D20" s="21"/>
      <c r="E20" s="21"/>
      <c r="F20" s="7"/>
      <c r="G20" s="21"/>
      <c r="H20" s="26"/>
      <c r="I20" s="5"/>
      <c r="J20" s="5"/>
    </row>
    <row r="21" spans="1:12" x14ac:dyDescent="0.2">
      <c r="A21" s="20" t="s">
        <v>20</v>
      </c>
      <c r="B21" s="51"/>
      <c r="C21" s="21"/>
      <c r="D21" s="21"/>
      <c r="E21" s="21"/>
      <c r="F21" s="7"/>
      <c r="G21" s="21"/>
      <c r="H21" s="26"/>
      <c r="I21" s="5"/>
      <c r="J21" s="5"/>
    </row>
    <row r="22" spans="1:12" x14ac:dyDescent="0.2">
      <c r="A22" s="43" t="s">
        <v>17</v>
      </c>
      <c r="B22" s="44">
        <v>269746</v>
      </c>
      <c r="C22" s="44">
        <v>7435.5</v>
      </c>
      <c r="D22" s="44">
        <v>0</v>
      </c>
      <c r="E22" s="44">
        <f>SUM(D22+C22+Mar!E20)</f>
        <v>104556.07</v>
      </c>
      <c r="F22" s="45"/>
      <c r="G22" s="44">
        <f>B22-E22</f>
        <v>165189.93</v>
      </c>
      <c r="H22" s="46">
        <f>E22/B22</f>
        <v>0.38760934360472449</v>
      </c>
      <c r="I22" s="5"/>
      <c r="J22" s="5"/>
    </row>
    <row r="23" spans="1:12" x14ac:dyDescent="0.2">
      <c r="A23" s="20" t="s">
        <v>18</v>
      </c>
      <c r="B23" s="51">
        <v>-260038.5</v>
      </c>
      <c r="C23" s="21">
        <v>-9442.7900000000009</v>
      </c>
      <c r="D23" s="21">
        <v>-83.56</v>
      </c>
      <c r="E23" s="21">
        <f>SUM(D23+C23+Mar!E21-Mar!D21)</f>
        <v>-170265.94000000003</v>
      </c>
      <c r="F23" s="7"/>
      <c r="G23" s="21">
        <f>B23-E23</f>
        <v>-89772.559999999969</v>
      </c>
      <c r="H23" s="26">
        <f>E23/B23</f>
        <v>0.65477204337050099</v>
      </c>
      <c r="I23" s="5"/>
      <c r="J23" s="5"/>
    </row>
    <row r="24" spans="1:12" x14ac:dyDescent="0.2">
      <c r="A24" s="20"/>
      <c r="B24" s="51"/>
      <c r="C24" s="21"/>
      <c r="D24" s="21"/>
      <c r="E24" s="21"/>
      <c r="F24" s="7"/>
      <c r="G24" s="21"/>
      <c r="H24" s="26"/>
      <c r="I24" s="5"/>
      <c r="J24" s="5"/>
    </row>
    <row r="25" spans="1:12" x14ac:dyDescent="0.2">
      <c r="A25" s="20" t="s">
        <v>21</v>
      </c>
      <c r="B25" s="51"/>
      <c r="C25" s="21"/>
      <c r="D25" s="21"/>
      <c r="E25" s="21"/>
      <c r="F25" s="7"/>
      <c r="G25" s="21"/>
      <c r="H25" s="26"/>
      <c r="I25" s="5"/>
      <c r="J25" s="5"/>
    </row>
    <row r="26" spans="1:12" x14ac:dyDescent="0.2">
      <c r="A26" s="43" t="s">
        <v>17</v>
      </c>
      <c r="B26" s="44">
        <v>0</v>
      </c>
      <c r="C26" s="44">
        <v>-2905.23</v>
      </c>
      <c r="D26" s="44">
        <v>0</v>
      </c>
      <c r="E26" s="44">
        <f>SUM(C26+Mar!E24)</f>
        <v>51378.869999999995</v>
      </c>
      <c r="F26" s="45"/>
      <c r="G26" s="44">
        <f>SUM(B26-E26)</f>
        <v>-51378.869999999995</v>
      </c>
      <c r="H26" s="46" t="e">
        <f>SUM(E26/B26)</f>
        <v>#DIV/0!</v>
      </c>
      <c r="I26" s="5"/>
      <c r="J26" s="5"/>
    </row>
    <row r="27" spans="1:12" x14ac:dyDescent="0.2">
      <c r="A27" s="20" t="s">
        <v>18</v>
      </c>
      <c r="B27" s="51">
        <v>-9713618</v>
      </c>
      <c r="C27" s="21">
        <v>-77322.929999999993</v>
      </c>
      <c r="D27" s="21">
        <v>-141284.81</v>
      </c>
      <c r="E27" s="21">
        <f>SUM(D27+C27+Mar!E25-Mar!D25)</f>
        <v>-8233719.459999999</v>
      </c>
      <c r="F27" s="7"/>
      <c r="G27" s="21">
        <f>SUM(B27-E27)</f>
        <v>-1479898.540000001</v>
      </c>
      <c r="H27" s="26">
        <f>SUM(E27/B27)</f>
        <v>0.84764703120917451</v>
      </c>
      <c r="I27" s="5"/>
      <c r="J27" s="5"/>
    </row>
    <row r="28" spans="1:12" x14ac:dyDescent="0.2">
      <c r="A28" s="20"/>
      <c r="B28" s="51"/>
      <c r="C28" s="21"/>
      <c r="D28" s="21"/>
      <c r="E28" s="21"/>
      <c r="F28" s="7"/>
      <c r="G28" s="21"/>
      <c r="H28" s="26"/>
      <c r="I28" s="5"/>
      <c r="J28" s="5"/>
    </row>
    <row r="29" spans="1:12" x14ac:dyDescent="0.2">
      <c r="A29" s="20" t="s">
        <v>22</v>
      </c>
      <c r="B29" s="41"/>
      <c r="C29" s="22"/>
      <c r="D29" s="22"/>
      <c r="E29" s="21"/>
      <c r="F29" s="8"/>
      <c r="G29" s="21"/>
      <c r="H29" s="26"/>
      <c r="I29" s="5"/>
      <c r="J29" s="5"/>
    </row>
    <row r="30" spans="1:12" x14ac:dyDescent="0.2">
      <c r="A30" s="43" t="s">
        <v>17</v>
      </c>
      <c r="B30" s="49">
        <v>1988305</v>
      </c>
      <c r="C30" s="49">
        <v>2298.14</v>
      </c>
      <c r="D30" s="49">
        <v>0</v>
      </c>
      <c r="E30" s="44">
        <f>SUM(C30+Mar!E28)</f>
        <v>-1407221.3600000003</v>
      </c>
      <c r="F30" s="50"/>
      <c r="G30" s="44">
        <f>B30-E30</f>
        <v>3395526.3600000003</v>
      </c>
      <c r="H30" s="46">
        <f>E30/B30</f>
        <v>-0.70774924370255088</v>
      </c>
      <c r="I30" s="5"/>
      <c r="J30" s="5"/>
    </row>
    <row r="31" spans="1:12" x14ac:dyDescent="0.2">
      <c r="A31" s="20" t="s">
        <v>18</v>
      </c>
      <c r="B31" s="41">
        <v>-1893894</v>
      </c>
      <c r="C31" s="22">
        <v>0</v>
      </c>
      <c r="D31" s="22">
        <v>0</v>
      </c>
      <c r="E31" s="21">
        <f>SUM(C31+D31+Mar!E29-Mar!D29)</f>
        <v>-1894420</v>
      </c>
      <c r="F31" s="8"/>
      <c r="G31" s="21">
        <f>B31-E31</f>
        <v>526</v>
      </c>
      <c r="H31" s="26">
        <f>E31/B31</f>
        <v>1.0002777346567442</v>
      </c>
      <c r="I31" s="5"/>
      <c r="J31" s="5"/>
    </row>
    <row r="32" spans="1:12" x14ac:dyDescent="0.2">
      <c r="A32" s="20"/>
      <c r="B32" s="41"/>
      <c r="C32" s="22"/>
      <c r="D32" s="22"/>
      <c r="E32" s="21"/>
      <c r="F32" s="8"/>
      <c r="G32" s="21"/>
      <c r="H32" s="26"/>
      <c r="I32" s="5"/>
      <c r="J32" s="5"/>
    </row>
    <row r="33" spans="1:10" x14ac:dyDescent="0.2">
      <c r="A33" s="20" t="s">
        <v>23</v>
      </c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43" t="s">
        <v>17</v>
      </c>
      <c r="B34" s="49">
        <v>10800</v>
      </c>
      <c r="C34" s="49">
        <v>500</v>
      </c>
      <c r="D34" s="49">
        <v>0</v>
      </c>
      <c r="E34" s="44">
        <f>SUM(C34+Mar!E32)</f>
        <v>15572.689999999999</v>
      </c>
      <c r="F34" s="50"/>
      <c r="G34" s="44">
        <f>B34-E34</f>
        <v>-4772.6899999999987</v>
      </c>
      <c r="H34" s="46">
        <f>E34/B34</f>
        <v>1.4419157407407406</v>
      </c>
      <c r="I34" s="5"/>
      <c r="J34" s="5"/>
    </row>
    <row r="35" spans="1:10" x14ac:dyDescent="0.2">
      <c r="A35" s="20" t="s">
        <v>18</v>
      </c>
      <c r="B35" s="41">
        <v>-10800</v>
      </c>
      <c r="C35" s="22">
        <v>0</v>
      </c>
      <c r="D35" s="22">
        <v>0</v>
      </c>
      <c r="E35" s="21">
        <f>SUM(C35+D35+Mar!E33-Mar!D33)</f>
        <v>-10700</v>
      </c>
      <c r="F35" s="8"/>
      <c r="G35" s="21">
        <f>B35-E35</f>
        <v>-100</v>
      </c>
      <c r="H35" s="26">
        <f>E35/B35</f>
        <v>0.9907407407407407</v>
      </c>
      <c r="I35" s="5"/>
      <c r="J35" s="5"/>
    </row>
    <row r="36" spans="1:10" x14ac:dyDescent="0.2">
      <c r="A36" s="20"/>
      <c r="B36" s="41"/>
      <c r="C36" s="22"/>
      <c r="D36" s="22"/>
      <c r="E36" s="21"/>
      <c r="F36" s="8"/>
      <c r="G36" s="21"/>
      <c r="H36" s="26"/>
      <c r="I36" s="5"/>
      <c r="J36" s="5"/>
    </row>
    <row r="37" spans="1:10" x14ac:dyDescent="0.2">
      <c r="A37" s="20" t="s">
        <v>24</v>
      </c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43" t="s">
        <v>17</v>
      </c>
      <c r="B38" s="49">
        <v>10833</v>
      </c>
      <c r="C38" s="49">
        <v>4132.1499999999996</v>
      </c>
      <c r="D38" s="49">
        <v>0</v>
      </c>
      <c r="E38" s="44">
        <f>SUM(C38+Mar!E36)</f>
        <v>4132.1499999999996</v>
      </c>
      <c r="F38" s="50"/>
      <c r="G38" s="44">
        <f>B38-E38</f>
        <v>6700.85</v>
      </c>
      <c r="H38" s="46">
        <f>E38/B38</f>
        <v>0.38144096741438194</v>
      </c>
      <c r="I38" s="5"/>
      <c r="J38" s="5"/>
    </row>
    <row r="39" spans="1:10" x14ac:dyDescent="0.2">
      <c r="A39" s="20" t="s">
        <v>18</v>
      </c>
      <c r="B39" s="41">
        <v>-10835</v>
      </c>
      <c r="C39" s="22">
        <v>-902.82</v>
      </c>
      <c r="D39" s="22">
        <v>0</v>
      </c>
      <c r="E39" s="21">
        <f>SUM(D39+C39+Mar!E37-Mar!D37)</f>
        <v>-7222.48</v>
      </c>
      <c r="F39" s="8"/>
      <c r="G39" s="21">
        <f>B39-E39</f>
        <v>-3612.5200000000004</v>
      </c>
      <c r="H39" s="26">
        <f>E39/B39</f>
        <v>0.66658790955237657</v>
      </c>
      <c r="I39" s="5"/>
      <c r="J39" s="5"/>
    </row>
    <row r="40" spans="1:10" x14ac:dyDescent="0.2">
      <c r="A40" s="20"/>
      <c r="B40" s="41"/>
      <c r="C40" s="22"/>
      <c r="D40" s="22"/>
      <c r="E40" s="21"/>
      <c r="F40" s="8"/>
      <c r="G40" s="21"/>
      <c r="H40" s="26"/>
      <c r="I40" s="5"/>
      <c r="J40" s="5"/>
    </row>
    <row r="41" spans="1:10" x14ac:dyDescent="0.2">
      <c r="A41" s="20" t="s">
        <v>25</v>
      </c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43" t="s">
        <v>17</v>
      </c>
      <c r="B42" s="49">
        <v>95805.37</v>
      </c>
      <c r="C42" s="49">
        <v>8849.4</v>
      </c>
      <c r="D42" s="49">
        <v>0</v>
      </c>
      <c r="E42" s="44">
        <f>SUM(C42+Mar!E40)</f>
        <v>143026.1</v>
      </c>
      <c r="F42" s="50"/>
      <c r="G42" s="44">
        <f>B42-E42</f>
        <v>-47220.73000000001</v>
      </c>
      <c r="H42" s="46">
        <f>E42/B42</f>
        <v>1.4928818708178886</v>
      </c>
      <c r="I42" s="5"/>
      <c r="J42" s="5"/>
    </row>
    <row r="43" spans="1:10" x14ac:dyDescent="0.2">
      <c r="A43" s="20" t="s">
        <v>18</v>
      </c>
      <c r="B43" s="41">
        <v>-95805.37</v>
      </c>
      <c r="C43" s="22">
        <v>-12509.66</v>
      </c>
      <c r="D43" s="22">
        <v>-1506.8</v>
      </c>
      <c r="E43" s="21">
        <f>SUM(C43+D43+Mar!E41-Mar!D41)</f>
        <v>-139205.72999999998</v>
      </c>
      <c r="F43" s="8"/>
      <c r="G43" s="21">
        <f>B43-E43</f>
        <v>43400.359999999986</v>
      </c>
      <c r="H43" s="26">
        <f>E43/B43</f>
        <v>1.4530055048062545</v>
      </c>
      <c r="I43" s="5"/>
      <c r="J43" s="5"/>
    </row>
    <row r="44" spans="1:10" x14ac:dyDescent="0.2">
      <c r="A44" s="20"/>
      <c r="B44" s="41"/>
      <c r="C44" s="22"/>
      <c r="D44" s="22"/>
      <c r="E44" s="21"/>
      <c r="F44" s="8"/>
      <c r="G44" s="21"/>
      <c r="H44" s="26"/>
      <c r="I44" s="5"/>
      <c r="J44" s="5"/>
    </row>
    <row r="45" spans="1:10" x14ac:dyDescent="0.2">
      <c r="A45" s="20" t="s">
        <v>26</v>
      </c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43" t="s">
        <v>17</v>
      </c>
      <c r="B46" s="49">
        <v>6700</v>
      </c>
      <c r="C46" s="49">
        <v>0</v>
      </c>
      <c r="D46" s="49">
        <v>0</v>
      </c>
      <c r="E46" s="44">
        <f>SUM(C46+D46+Mar!E44-Mar!D44)</f>
        <v>924.25000000000011</v>
      </c>
      <c r="F46" s="50"/>
      <c r="G46" s="44">
        <f>B46-E46</f>
        <v>5775.75</v>
      </c>
      <c r="H46" s="46">
        <f>E46/B46</f>
        <v>0.13794776119402988</v>
      </c>
      <c r="I46" s="5"/>
      <c r="J46" s="5"/>
    </row>
    <row r="47" spans="1:10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SUM(D47+C47+Mar!E45)</f>
        <v>-22501.200000000001</v>
      </c>
      <c r="F47" s="8"/>
      <c r="G47" s="21">
        <f>B47-E47</f>
        <v>-52477.8</v>
      </c>
      <c r="H47" s="26">
        <f>E47/B47</f>
        <v>0.30010002800784219</v>
      </c>
      <c r="I47" s="5"/>
      <c r="J47" s="5"/>
    </row>
    <row r="48" spans="1:10" x14ac:dyDescent="0.2">
      <c r="A48" s="20"/>
      <c r="B48" s="41"/>
      <c r="C48" s="22"/>
      <c r="D48" s="22"/>
      <c r="E48" s="21"/>
      <c r="F48" s="8"/>
      <c r="G48" s="21"/>
      <c r="H48" s="26"/>
      <c r="I48" s="5"/>
      <c r="J48" s="5"/>
    </row>
    <row r="49" spans="1:10" x14ac:dyDescent="0.2">
      <c r="A49" s="20" t="s">
        <v>27</v>
      </c>
      <c r="B49" s="41"/>
      <c r="C49" s="22"/>
      <c r="D49" s="22"/>
      <c r="E49" s="21"/>
      <c r="F49" s="8"/>
      <c r="G49" s="21"/>
      <c r="H49" s="26"/>
      <c r="I49" s="5"/>
      <c r="J49" s="5"/>
    </row>
    <row r="50" spans="1:10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SUM(C50+D50+Mar!E48-Mar!D48)</f>
        <v>-134431.12</v>
      </c>
      <c r="F50" s="50"/>
      <c r="G50" s="44">
        <f>B50-E50</f>
        <v>273313.12</v>
      </c>
      <c r="H50" s="46">
        <f>E50/B50</f>
        <v>-0.96795207442289133</v>
      </c>
      <c r="I50" s="5"/>
      <c r="J50" s="5"/>
    </row>
    <row r="51" spans="1:10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C51+D51+Mar!E49-Mar!D49</f>
        <v>-134762.5</v>
      </c>
      <c r="F51" s="8"/>
      <c r="G51" s="21">
        <f>B51-E51</f>
        <v>1550</v>
      </c>
      <c r="H51" s="26">
        <f>E51/B51</f>
        <v>1.0116355447123957</v>
      </c>
      <c r="I51" s="5"/>
      <c r="J51" s="5"/>
    </row>
    <row r="52" spans="1:10" x14ac:dyDescent="0.2">
      <c r="A52" s="20"/>
      <c r="B52" s="41"/>
      <c r="C52" s="22"/>
      <c r="D52" s="22"/>
      <c r="E52" s="21"/>
      <c r="F52" s="8"/>
      <c r="G52" s="21"/>
      <c r="H52" s="26"/>
      <c r="I52" s="5"/>
      <c r="J52" s="5"/>
    </row>
    <row r="53" spans="1:10" x14ac:dyDescent="0.2">
      <c r="A53" s="20"/>
      <c r="B53" s="41"/>
      <c r="C53" s="22"/>
      <c r="D53" s="22"/>
      <c r="E53" s="20"/>
      <c r="F53" s="5"/>
      <c r="G53" s="20"/>
      <c r="H53" s="26"/>
      <c r="I53" s="5"/>
      <c r="J53" s="5"/>
    </row>
    <row r="54" spans="1:10" x14ac:dyDescent="0.2">
      <c r="A54" s="23" t="s">
        <v>28</v>
      </c>
      <c r="B54" s="41">
        <f>SUM(B14+B18+B22+B26+B30+B34+B38+B42+B46+B50)</f>
        <v>12618989.899999999</v>
      </c>
      <c r="C54" s="41">
        <f>SUM(C14+C18+C22+C26+C30+C34+C38+C42+C46+C50)</f>
        <v>1179101.8899999997</v>
      </c>
      <c r="D54" s="41">
        <f>SUM(D14+D18+D22+D26+D30+D34+D38+D42+D46+D50)</f>
        <v>0</v>
      </c>
      <c r="E54" s="41">
        <f>SUM(E14+E18+E22+E26+E30+E34+E38+E42+E46+E50)</f>
        <v>9893537.1499999985</v>
      </c>
      <c r="F54" s="41"/>
      <c r="G54" s="41">
        <f>SUM(G14+G18+G22+G26+G30+G34+G38+G42+G46+G50)</f>
        <v>2725452.7500000005</v>
      </c>
      <c r="H54" s="26">
        <f>E54/B54</f>
        <v>0.78401973758612797</v>
      </c>
      <c r="I54" s="5"/>
      <c r="J54" s="5"/>
    </row>
    <row r="55" spans="1:10" x14ac:dyDescent="0.2">
      <c r="A55" s="24" t="s">
        <v>29</v>
      </c>
      <c r="B55" s="41">
        <f>SUM(B15+B19+B23+B31+B35+B39+B43+B47+B51+B27)</f>
        <v>-22433249.489999998</v>
      </c>
      <c r="C55" s="41">
        <f>SUM(C15+C19+C23+C31+C35+C39+C43+C47+C51+C27)</f>
        <v>-977737.42999999993</v>
      </c>
      <c r="D55" s="41">
        <f>SUM(D15+D19+D23+D31+D35+D39+D43+D47+D51+D27)</f>
        <v>-169651.94</v>
      </c>
      <c r="E55" s="41">
        <f>SUM(E15+E19+E23+E31+E35+E39+E43+E47+E51+E27)</f>
        <v>-18070706.109999999</v>
      </c>
      <c r="F55" s="41"/>
      <c r="G55" s="41">
        <f>SUM(G15+G19+G23+G31+G35+G39+G43+G47+G51+G27)</f>
        <v>-4362543.3800000008</v>
      </c>
      <c r="H55" s="26">
        <f>E55/B55</f>
        <v>0.80553225773445458</v>
      </c>
      <c r="I55" s="5"/>
      <c r="J55" s="5"/>
    </row>
    <row r="56" spans="1:10" x14ac:dyDescent="0.2">
      <c r="A56" s="5"/>
      <c r="B56" s="5"/>
      <c r="C56" s="5"/>
      <c r="D56" s="5"/>
      <c r="E56" s="5"/>
      <c r="F56" s="5"/>
      <c r="G56" s="5"/>
      <c r="H56" s="14"/>
      <c r="I56" s="5"/>
      <c r="J56" s="5"/>
    </row>
    <row r="57" spans="1:10" ht="15" x14ac:dyDescent="0.3">
      <c r="A57" s="105"/>
      <c r="B57" s="105"/>
      <c r="C57" s="105"/>
      <c r="D57" s="105"/>
      <c r="E57" s="105"/>
      <c r="F57" s="105"/>
      <c r="G57" s="105"/>
      <c r="H57" s="105"/>
      <c r="I57" s="5"/>
      <c r="J57" s="5"/>
    </row>
    <row r="58" spans="1:10" x14ac:dyDescent="0.2">
      <c r="A58" s="2" t="s">
        <v>30</v>
      </c>
      <c r="I58" s="5"/>
      <c r="J58" s="5"/>
    </row>
    <row r="59" spans="1:10" x14ac:dyDescent="0.2">
      <c r="I59" s="5"/>
      <c r="J59" s="5"/>
    </row>
    <row r="60" spans="1:10" x14ac:dyDescent="0.2">
      <c r="A60" s="96"/>
      <c r="B60" s="39" t="s">
        <v>11</v>
      </c>
      <c r="C60" s="39" t="s">
        <v>67</v>
      </c>
      <c r="F60" s="3"/>
      <c r="G60" s="72"/>
      <c r="H60" s="9"/>
      <c r="I60" s="5"/>
      <c r="J60" s="5"/>
    </row>
    <row r="61" spans="1:10" ht="15.75" x14ac:dyDescent="0.25">
      <c r="A61" s="96" t="s">
        <v>32</v>
      </c>
      <c r="B61" s="39" t="s">
        <v>33</v>
      </c>
      <c r="C61" s="39" t="s">
        <v>33</v>
      </c>
      <c r="E61" s="54" t="s">
        <v>34</v>
      </c>
      <c r="G61" s="77" t="s">
        <v>35</v>
      </c>
      <c r="H61" s="9"/>
    </row>
    <row r="62" spans="1:10" ht="15" x14ac:dyDescent="0.25">
      <c r="A62" s="97" t="s">
        <v>36</v>
      </c>
      <c r="B62" s="52">
        <v>451567.23</v>
      </c>
      <c r="C62" s="52">
        <v>427607.07</v>
      </c>
      <c r="D62" s="6"/>
      <c r="E62" s="55" t="s">
        <v>37</v>
      </c>
      <c r="G62" s="90">
        <v>17175.400000000001</v>
      </c>
      <c r="H62" s="11"/>
    </row>
    <row r="63" spans="1:10" ht="15" x14ac:dyDescent="0.25">
      <c r="A63" s="97" t="s">
        <v>38</v>
      </c>
      <c r="B63" s="52">
        <v>71095.03</v>
      </c>
      <c r="C63" s="52">
        <v>87885.99</v>
      </c>
      <c r="D63" s="6"/>
      <c r="E63" s="55" t="s">
        <v>39</v>
      </c>
      <c r="G63" s="90">
        <v>16406.2</v>
      </c>
      <c r="H63" s="11"/>
    </row>
    <row r="64" spans="1:10" ht="15" x14ac:dyDescent="0.25">
      <c r="A64" s="97" t="s">
        <v>40</v>
      </c>
      <c r="B64" s="52">
        <v>8847.19</v>
      </c>
      <c r="C64" s="52">
        <v>10746.47</v>
      </c>
      <c r="D64" s="8"/>
      <c r="E64" s="55" t="s">
        <v>41</v>
      </c>
      <c r="G64" s="90">
        <v>301267.25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43</v>
      </c>
      <c r="G65" s="90">
        <v>106811.73</v>
      </c>
      <c r="H65" s="11"/>
    </row>
    <row r="66" spans="1:8" ht="15" x14ac:dyDescent="0.25">
      <c r="A66" s="97" t="s">
        <v>44</v>
      </c>
      <c r="B66" s="52">
        <v>8059.33</v>
      </c>
      <c r="C66" s="52">
        <v>8308.84</v>
      </c>
      <c r="D66" s="8"/>
      <c r="E66" s="55" t="s">
        <v>45</v>
      </c>
      <c r="G66" s="90">
        <v>15521.59</v>
      </c>
    </row>
    <row r="67" spans="1:8" ht="15" x14ac:dyDescent="0.25">
      <c r="A67" s="98" t="s">
        <v>46</v>
      </c>
      <c r="B67" s="52">
        <v>3656</v>
      </c>
      <c r="C67" s="52">
        <v>3606</v>
      </c>
      <c r="D67" s="8"/>
      <c r="E67" s="55" t="s">
        <v>47</v>
      </c>
      <c r="G67" s="90">
        <v>54405</v>
      </c>
      <c r="H67" s="11"/>
    </row>
    <row r="68" spans="1:8" ht="15" x14ac:dyDescent="0.25">
      <c r="A68" s="97" t="s">
        <v>48</v>
      </c>
      <c r="B68" s="52">
        <v>8587.7000000000007</v>
      </c>
      <c r="C68" s="52">
        <v>8587.7000000000007</v>
      </c>
      <c r="D68" s="8"/>
      <c r="E68" s="55" t="s">
        <v>65</v>
      </c>
      <c r="G68" s="90">
        <v>750</v>
      </c>
      <c r="H68" s="11"/>
    </row>
    <row r="69" spans="1:8" ht="15" x14ac:dyDescent="0.25">
      <c r="A69" s="98" t="s">
        <v>70</v>
      </c>
      <c r="B69" s="52">
        <v>0</v>
      </c>
      <c r="C69" s="52">
        <v>0</v>
      </c>
      <c r="D69" s="8"/>
      <c r="E69" s="55" t="s">
        <v>51</v>
      </c>
      <c r="G69" s="90">
        <v>95.2</v>
      </c>
      <c r="H69" s="11"/>
    </row>
    <row r="70" spans="1:8" x14ac:dyDescent="0.2">
      <c r="A70" s="98" t="s">
        <v>71</v>
      </c>
      <c r="B70" s="52">
        <v>0</v>
      </c>
      <c r="C70" s="52">
        <v>0</v>
      </c>
      <c r="D70" s="8"/>
      <c r="E70" s="93" t="s">
        <v>83</v>
      </c>
      <c r="G70" s="67">
        <v>7262</v>
      </c>
      <c r="H70" s="11"/>
    </row>
    <row r="71" spans="1:8" ht="15" x14ac:dyDescent="0.25">
      <c r="A71" s="98" t="s">
        <v>78</v>
      </c>
      <c r="B71" s="52"/>
      <c r="C71" s="52"/>
      <c r="D71" s="8"/>
      <c r="E71" s="55"/>
      <c r="G71" s="90"/>
    </row>
    <row r="72" spans="1:8" ht="15" x14ac:dyDescent="0.25">
      <c r="A72" s="98"/>
      <c r="B72" s="52"/>
      <c r="C72" s="52"/>
      <c r="D72" s="8"/>
      <c r="E72" s="55"/>
      <c r="G72" s="90"/>
      <c r="H72" s="11"/>
    </row>
    <row r="73" spans="1:8" ht="16.5" thickBot="1" x14ac:dyDescent="0.3">
      <c r="A73" s="98"/>
      <c r="B73" s="52"/>
      <c r="C73" s="52"/>
      <c r="E73"/>
      <c r="G73" s="95">
        <f>SUM(G62:G72)</f>
        <v>519694.37</v>
      </c>
    </row>
    <row r="74" spans="1:8" ht="13.5" thickTop="1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SUM(B62-B63-B64+B65-B66-B67-B68+B69+B70-B71)</f>
        <v>356421.97999999992</v>
      </c>
      <c r="C79" s="64">
        <f>SUM(C62-C63-C64+C65-C66-C67-C68+C69+C70-C71)</f>
        <v>313572.07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111026.09</v>
      </c>
      <c r="C81" s="101">
        <v>302981.18</v>
      </c>
    </row>
    <row r="82" spans="1:3" x14ac:dyDescent="0.2">
      <c r="A82" s="40" t="s">
        <v>58</v>
      </c>
      <c r="B82" s="101">
        <v>1899471.63</v>
      </c>
      <c r="C82" s="101">
        <v>1418639.15</v>
      </c>
    </row>
    <row r="83" spans="1:3" x14ac:dyDescent="0.2">
      <c r="A83" s="40" t="s">
        <v>59</v>
      </c>
      <c r="B83" s="101">
        <v>6090676.5499999998</v>
      </c>
      <c r="C83" s="101">
        <v>6093581.7800000003</v>
      </c>
    </row>
    <row r="84" spans="1:3" ht="15" x14ac:dyDescent="0.35">
      <c r="A84" s="42" t="s">
        <v>60</v>
      </c>
      <c r="B84" s="65">
        <f>SUM(B81:B83)</f>
        <v>8101174.2699999996</v>
      </c>
      <c r="C84" s="65">
        <f>SUM(C81:C83)</f>
        <v>7815202.1100000003</v>
      </c>
    </row>
    <row r="85" spans="1:3" x14ac:dyDescent="0.2">
      <c r="A85" s="87"/>
      <c r="B85" s="12"/>
      <c r="C85" s="12"/>
    </row>
  </sheetData>
  <mergeCells count="4">
    <mergeCell ref="A2:H2"/>
    <mergeCell ref="A3:H3"/>
    <mergeCell ref="A4:H4"/>
    <mergeCell ref="A57:H57"/>
  </mergeCells>
  <phoneticPr fontId="3" type="noConversion"/>
  <dataValidations count="1">
    <dataValidation showInputMessage="1" showErrorMessage="1" sqref="C6"/>
  </dataValidations>
  <pageMargins left="0.5" right="0.5" top="0.5" bottom="0.5" header="0.5" footer="0.5"/>
  <pageSetup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16" zoomScaleNormal="100" workbookViewId="0">
      <selection activeCell="D55" sqref="D55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0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0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"/>
      <c r="J2" s="5"/>
    </row>
    <row r="3" spans="1:10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"/>
      <c r="J3" s="5"/>
    </row>
    <row r="4" spans="1:10" ht="15" x14ac:dyDescent="0.3">
      <c r="A4" s="104"/>
      <c r="B4" s="104"/>
      <c r="C4" s="104"/>
      <c r="D4" s="104"/>
      <c r="E4" s="104"/>
      <c r="F4" s="104"/>
      <c r="G4" s="104"/>
      <c r="H4" s="104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14"/>
      <c r="I5" s="5"/>
      <c r="J5" s="5"/>
    </row>
    <row r="6" spans="1:10" x14ac:dyDescent="0.2">
      <c r="A6" s="5"/>
      <c r="B6" s="15"/>
      <c r="C6" s="5"/>
      <c r="D6" s="5"/>
      <c r="E6" s="5"/>
      <c r="F6" s="5"/>
      <c r="G6" s="5"/>
      <c r="H6" s="14"/>
      <c r="I6" s="5"/>
      <c r="J6" s="5"/>
    </row>
    <row r="7" spans="1:10" x14ac:dyDescent="0.2">
      <c r="A7" s="102"/>
      <c r="B7" s="5"/>
      <c r="C7" s="5"/>
      <c r="D7" s="5"/>
      <c r="E7" s="5"/>
      <c r="F7" s="5"/>
      <c r="G7" s="16" t="s">
        <v>3</v>
      </c>
      <c r="H7" s="34">
        <v>42522</v>
      </c>
      <c r="I7" s="5"/>
      <c r="J7" s="5"/>
    </row>
    <row r="8" spans="1:10" x14ac:dyDescent="0.2">
      <c r="A8" s="17" t="s">
        <v>4</v>
      </c>
      <c r="B8" s="5"/>
      <c r="C8" s="5"/>
      <c r="D8" s="5"/>
      <c r="E8" s="5"/>
      <c r="F8" s="5"/>
      <c r="G8" s="5"/>
      <c r="H8" s="14"/>
      <c r="I8" s="5"/>
      <c r="J8" s="5"/>
    </row>
    <row r="9" spans="1:10" x14ac:dyDescent="0.2">
      <c r="A9" s="5"/>
      <c r="B9" s="5"/>
      <c r="C9" s="5"/>
      <c r="D9" s="5"/>
      <c r="E9" s="5"/>
      <c r="F9" s="5"/>
      <c r="G9" s="5"/>
      <c r="H9" s="14"/>
      <c r="I9" s="5"/>
      <c r="J9" s="5"/>
    </row>
    <row r="10" spans="1:10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  <c r="I10" s="5"/>
      <c r="J10" s="5"/>
    </row>
    <row r="11" spans="1:10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  <c r="I11" s="5"/>
      <c r="J11" s="5"/>
    </row>
    <row r="12" spans="1:10" x14ac:dyDescent="0.2">
      <c r="A12" s="20"/>
      <c r="B12" s="20"/>
      <c r="C12" s="20"/>
      <c r="D12" s="20"/>
      <c r="E12" s="20"/>
      <c r="F12" s="5"/>
      <c r="G12" s="20"/>
      <c r="H12" s="26"/>
      <c r="I12" s="5"/>
      <c r="J12" s="5"/>
    </row>
    <row r="13" spans="1:10" x14ac:dyDescent="0.2">
      <c r="A13" s="20" t="s">
        <v>16</v>
      </c>
      <c r="B13" s="21"/>
      <c r="C13" s="21"/>
      <c r="D13" s="21"/>
      <c r="E13" s="21"/>
      <c r="F13" s="7"/>
      <c r="G13" s="21"/>
      <c r="H13" s="26"/>
      <c r="I13" s="5"/>
      <c r="J13" s="5"/>
    </row>
    <row r="14" spans="1:10" x14ac:dyDescent="0.2">
      <c r="A14" s="43" t="s">
        <v>17</v>
      </c>
      <c r="B14" s="44">
        <v>9682442.5299999993</v>
      </c>
      <c r="C14" s="44">
        <v>2569356.39</v>
      </c>
      <c r="D14" s="44">
        <v>-10090.5</v>
      </c>
      <c r="E14" s="44">
        <f>SUM(C14+D14+Apr!E14)</f>
        <v>13302565.66</v>
      </c>
      <c r="F14" s="45"/>
      <c r="G14" s="44">
        <f>B14-E14</f>
        <v>-3620123.1300000008</v>
      </c>
      <c r="H14" s="46">
        <f>E14/B14</f>
        <v>1.3738853206495614</v>
      </c>
      <c r="I14" s="5"/>
      <c r="J14" s="5"/>
    </row>
    <row r="15" spans="1:10" x14ac:dyDescent="0.2">
      <c r="A15" s="20" t="s">
        <v>18</v>
      </c>
      <c r="B15" s="51">
        <v>-9743536.1199999992</v>
      </c>
      <c r="C15" s="21">
        <v>-902565.67</v>
      </c>
      <c r="D15" s="21">
        <v>-41881.89</v>
      </c>
      <c r="E15" s="21">
        <f>SUM(C15+D15+Apr!E15-Apr!D15)</f>
        <v>-8004494.3900000006</v>
      </c>
      <c r="F15" s="7"/>
      <c r="G15" s="21">
        <f>B15-E15</f>
        <v>-1739041.7299999986</v>
      </c>
      <c r="H15" s="26">
        <f>E15/B15</f>
        <v>0.8215184191260535</v>
      </c>
      <c r="I15" s="5"/>
      <c r="J15" s="5"/>
    </row>
    <row r="16" spans="1:10" x14ac:dyDescent="0.2">
      <c r="A16" s="20"/>
      <c r="B16" s="40"/>
      <c r="C16" s="21"/>
      <c r="D16" s="21"/>
      <c r="E16" s="21"/>
      <c r="F16" s="7"/>
      <c r="G16" s="21"/>
      <c r="H16" s="26"/>
      <c r="I16" s="5"/>
      <c r="J16" s="5"/>
    </row>
    <row r="17" spans="1:12" x14ac:dyDescent="0.2">
      <c r="A17" s="20" t="s">
        <v>19</v>
      </c>
      <c r="B17" s="51"/>
      <c r="C17" s="21"/>
      <c r="D17" s="21"/>
      <c r="E17" s="21"/>
      <c r="F17" s="7"/>
      <c r="G17" s="21"/>
      <c r="H17" s="27"/>
      <c r="I17" s="5"/>
      <c r="J17" s="5"/>
    </row>
    <row r="18" spans="1:12" x14ac:dyDescent="0.2">
      <c r="A18" s="43" t="s">
        <v>17</v>
      </c>
      <c r="B18" s="44">
        <v>415476</v>
      </c>
      <c r="C18" s="44">
        <v>51240.7</v>
      </c>
      <c r="D18" s="44">
        <v>0</v>
      </c>
      <c r="E18" s="44">
        <f>SUM(C18+D18+Apr!E18)</f>
        <v>423540.42999999993</v>
      </c>
      <c r="F18" s="45"/>
      <c r="G18" s="44">
        <f>B18-E18</f>
        <v>-8064.4299999999348</v>
      </c>
      <c r="H18" s="46">
        <f>E18/B18</f>
        <v>1.019410098296893</v>
      </c>
      <c r="I18" s="5"/>
      <c r="J18" s="5"/>
    </row>
    <row r="19" spans="1:12" x14ac:dyDescent="0.2">
      <c r="A19" s="20" t="s">
        <v>18</v>
      </c>
      <c r="B19" s="51">
        <v>-496531</v>
      </c>
      <c r="C19" s="21">
        <v>-55601.63</v>
      </c>
      <c r="D19" s="21">
        <v>0</v>
      </c>
      <c r="E19" s="21">
        <f>SUM(C19+D19+Apr!E19-Apr!D19)</f>
        <v>-426686.82999999996</v>
      </c>
      <c r="F19" s="7"/>
      <c r="G19" s="21">
        <f>B19-E19</f>
        <v>-69844.170000000042</v>
      </c>
      <c r="H19" s="26">
        <f>E19/B19</f>
        <v>0.8593357313037856</v>
      </c>
      <c r="I19" s="5"/>
      <c r="J19" s="5"/>
      <c r="L19" s="33"/>
    </row>
    <row r="20" spans="1:12" x14ac:dyDescent="0.2">
      <c r="A20" s="20"/>
      <c r="B20" s="51"/>
      <c r="C20" s="21"/>
      <c r="D20" s="21"/>
      <c r="E20" s="21"/>
      <c r="F20" s="7"/>
      <c r="G20" s="21"/>
      <c r="H20" s="26"/>
      <c r="I20" s="5"/>
      <c r="J20" s="5"/>
    </row>
    <row r="21" spans="1:12" x14ac:dyDescent="0.2">
      <c r="A21" s="20" t="s">
        <v>20</v>
      </c>
      <c r="B21" s="51"/>
      <c r="C21" s="21"/>
      <c r="D21" s="21"/>
      <c r="E21" s="21"/>
      <c r="F21" s="7"/>
      <c r="G21" s="21"/>
      <c r="H21" s="26"/>
      <c r="I21" s="5"/>
      <c r="J21" s="5"/>
    </row>
    <row r="22" spans="1:12" x14ac:dyDescent="0.2">
      <c r="A22" s="43" t="s">
        <v>17</v>
      </c>
      <c r="B22" s="44">
        <v>269746</v>
      </c>
      <c r="C22" s="44">
        <v>18491.75</v>
      </c>
      <c r="D22" s="44">
        <v>0</v>
      </c>
      <c r="E22" s="44">
        <f>SUM(C22+D22+Apr!E22)</f>
        <v>123047.82</v>
      </c>
      <c r="F22" s="45"/>
      <c r="G22" s="44">
        <f>B22-E22</f>
        <v>146698.18</v>
      </c>
      <c r="H22" s="46">
        <f>E22/B22</f>
        <v>0.45616179665314782</v>
      </c>
      <c r="I22" s="5"/>
      <c r="J22" s="5"/>
    </row>
    <row r="23" spans="1:12" x14ac:dyDescent="0.2">
      <c r="A23" s="20" t="s">
        <v>18</v>
      </c>
      <c r="B23" s="51">
        <v>-260038.5</v>
      </c>
      <c r="C23" s="21">
        <v>-13665.33</v>
      </c>
      <c r="D23" s="21">
        <v>-13779.5</v>
      </c>
      <c r="E23" s="21">
        <f>SUM(C23+D23+Apr!E23-Apr!D23)</f>
        <v>-197627.21000000002</v>
      </c>
      <c r="F23" s="7"/>
      <c r="G23" s="21">
        <f>B23-E23</f>
        <v>-62411.289999999979</v>
      </c>
      <c r="H23" s="26">
        <f>E23/B23</f>
        <v>0.75999211655197219</v>
      </c>
      <c r="I23" s="5"/>
      <c r="J23" s="5"/>
    </row>
    <row r="24" spans="1:12" x14ac:dyDescent="0.2">
      <c r="A24" s="20"/>
      <c r="B24" s="51"/>
      <c r="C24" s="21"/>
      <c r="D24" s="21"/>
      <c r="E24" s="21"/>
      <c r="F24" s="7"/>
      <c r="G24" s="21"/>
      <c r="H24" s="26"/>
      <c r="I24" s="5"/>
      <c r="J24" s="5"/>
    </row>
    <row r="25" spans="1:12" x14ac:dyDescent="0.2">
      <c r="A25" s="20" t="s">
        <v>21</v>
      </c>
      <c r="B25" s="51"/>
      <c r="C25" s="21"/>
      <c r="D25" s="21"/>
      <c r="E25" s="21"/>
      <c r="F25" s="7"/>
      <c r="G25" s="21"/>
      <c r="H25" s="26"/>
      <c r="I25" s="5"/>
      <c r="J25" s="5"/>
    </row>
    <row r="26" spans="1:12" x14ac:dyDescent="0.2">
      <c r="A26" s="43" t="s">
        <v>17</v>
      </c>
      <c r="B26" s="44">
        <v>0</v>
      </c>
      <c r="C26" s="44">
        <v>12953.57</v>
      </c>
      <c r="D26" s="44">
        <v>0</v>
      </c>
      <c r="E26" s="44">
        <f>SUM(Apr!E26+May!C26)</f>
        <v>64332.439999999995</v>
      </c>
      <c r="F26" s="45"/>
      <c r="G26" s="44">
        <f>SUM(B26-E26)</f>
        <v>-64332.439999999995</v>
      </c>
      <c r="H26" s="46" t="e">
        <f>SUM(E26/B26)</f>
        <v>#DIV/0!</v>
      </c>
      <c r="I26" s="5"/>
      <c r="J26" s="5"/>
    </row>
    <row r="27" spans="1:12" x14ac:dyDescent="0.2">
      <c r="A27" s="20" t="s">
        <v>18</v>
      </c>
      <c r="B27" s="51">
        <v>-9713618</v>
      </c>
      <c r="C27" s="21">
        <v>-1450419.04</v>
      </c>
      <c r="D27" s="21">
        <v>-144784.51999999999</v>
      </c>
      <c r="E27" s="21">
        <f>SUM(C27+D27+Apr!E27-Apr!D27)</f>
        <v>-9687638.209999999</v>
      </c>
      <c r="F27" s="7"/>
      <c r="G27" s="21">
        <f>SUM(B27-E27)</f>
        <v>-25979.790000000969</v>
      </c>
      <c r="H27" s="26">
        <f>SUM(E27/B27)</f>
        <v>0.9973254260153116</v>
      </c>
      <c r="I27" s="5"/>
      <c r="J27" s="5"/>
    </row>
    <row r="28" spans="1:12" x14ac:dyDescent="0.2">
      <c r="A28" s="20"/>
      <c r="B28" s="51"/>
      <c r="C28" s="21"/>
      <c r="D28" s="21"/>
      <c r="E28" s="21"/>
      <c r="F28" s="7"/>
      <c r="G28" s="21"/>
      <c r="H28" s="26"/>
      <c r="I28" s="5"/>
      <c r="J28" s="5"/>
    </row>
    <row r="29" spans="1:12" x14ac:dyDescent="0.2">
      <c r="A29" s="20" t="s">
        <v>22</v>
      </c>
      <c r="B29" s="41"/>
      <c r="C29" s="22"/>
      <c r="D29" s="22"/>
      <c r="E29" s="21"/>
      <c r="F29" s="8"/>
      <c r="G29" s="21"/>
      <c r="H29" s="26"/>
      <c r="I29" s="5"/>
      <c r="J29" s="5"/>
    </row>
    <row r="30" spans="1:12" x14ac:dyDescent="0.2">
      <c r="A30" s="43" t="s">
        <v>17</v>
      </c>
      <c r="B30" s="49">
        <v>1988305</v>
      </c>
      <c r="C30" s="49">
        <v>2298.13</v>
      </c>
      <c r="D30" s="49">
        <v>0</v>
      </c>
      <c r="E30" s="44">
        <f>SUM(C30+D30+Apr!E30)</f>
        <v>-1404923.2300000004</v>
      </c>
      <c r="F30" s="50"/>
      <c r="G30" s="44">
        <f>B30-E30</f>
        <v>3393228.2300000004</v>
      </c>
      <c r="H30" s="46">
        <f>E30/B30</f>
        <v>-0.70659342002358816</v>
      </c>
      <c r="I30" s="5"/>
      <c r="J30" s="5"/>
    </row>
    <row r="31" spans="1:12" x14ac:dyDescent="0.2">
      <c r="A31" s="20" t="s">
        <v>18</v>
      </c>
      <c r="B31" s="41">
        <v>-1893894</v>
      </c>
      <c r="C31" s="22">
        <v>-23164.17</v>
      </c>
      <c r="D31" s="22">
        <v>0</v>
      </c>
      <c r="E31" s="21">
        <f>SUM(C31+D31+Apr!E31-Apr!D31)</f>
        <v>-1917584.17</v>
      </c>
      <c r="F31" s="8"/>
      <c r="G31" s="21">
        <f>B31-E31</f>
        <v>23690.169999999925</v>
      </c>
      <c r="H31" s="26">
        <f>E31/B31</f>
        <v>1.0125087095687508</v>
      </c>
      <c r="I31" s="5"/>
      <c r="J31" s="5"/>
    </row>
    <row r="32" spans="1:12" x14ac:dyDescent="0.2">
      <c r="A32" s="20"/>
      <c r="B32" s="41"/>
      <c r="C32" s="22"/>
      <c r="D32" s="22"/>
      <c r="E32" s="21"/>
      <c r="F32" s="8"/>
      <c r="G32" s="21"/>
      <c r="H32" s="26"/>
      <c r="I32" s="5"/>
      <c r="J32" s="5"/>
    </row>
    <row r="33" spans="1:10" x14ac:dyDescent="0.2">
      <c r="A33" s="20" t="s">
        <v>23</v>
      </c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43" t="s">
        <v>17</v>
      </c>
      <c r="B34" s="49">
        <v>10800</v>
      </c>
      <c r="C34" s="49">
        <v>2750</v>
      </c>
      <c r="D34" s="49">
        <v>0</v>
      </c>
      <c r="E34" s="44">
        <f>SUM(C34+D34+Apr!E34)</f>
        <v>18322.689999999999</v>
      </c>
      <c r="F34" s="50"/>
      <c r="G34" s="44">
        <f>B34-E34</f>
        <v>-7522.6899999999987</v>
      </c>
      <c r="H34" s="46">
        <f>E34/B34</f>
        <v>1.6965453703703703</v>
      </c>
      <c r="I34" s="5"/>
      <c r="J34" s="5"/>
    </row>
    <row r="35" spans="1:10" x14ac:dyDescent="0.2">
      <c r="A35" s="20" t="s">
        <v>18</v>
      </c>
      <c r="B35" s="41">
        <v>-10800</v>
      </c>
      <c r="C35" s="22">
        <v>-5650</v>
      </c>
      <c r="D35" s="22">
        <v>0</v>
      </c>
      <c r="E35" s="21">
        <f>SUM(C35+D35+Apr!E35-Apr!D35)</f>
        <v>-16350</v>
      </c>
      <c r="F35" s="8"/>
      <c r="G35" s="21">
        <f>B35-E35</f>
        <v>5550</v>
      </c>
      <c r="H35" s="26">
        <f>E35/B35</f>
        <v>1.5138888888888888</v>
      </c>
      <c r="I35" s="5"/>
      <c r="J35" s="5"/>
    </row>
    <row r="36" spans="1:10" x14ac:dyDescent="0.2">
      <c r="A36" s="20"/>
      <c r="B36" s="41"/>
      <c r="C36" s="22"/>
      <c r="D36" s="22"/>
      <c r="E36" s="21"/>
      <c r="F36" s="8"/>
      <c r="G36" s="21"/>
      <c r="H36" s="26"/>
      <c r="I36" s="5"/>
      <c r="J36" s="5"/>
    </row>
    <row r="37" spans="1:10" x14ac:dyDescent="0.2">
      <c r="A37" s="20" t="s">
        <v>24</v>
      </c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43" t="s">
        <v>17</v>
      </c>
      <c r="B38" s="49">
        <v>10833</v>
      </c>
      <c r="C38" s="49">
        <v>2187.5100000000002</v>
      </c>
      <c r="D38" s="49">
        <v>0</v>
      </c>
      <c r="E38" s="44">
        <f>SUM(C38+D38+Apr!E38)</f>
        <v>6319.66</v>
      </c>
      <c r="F38" s="50"/>
      <c r="G38" s="44">
        <f>B38-E38</f>
        <v>4513.34</v>
      </c>
      <c r="H38" s="46">
        <f>E38/B38</f>
        <v>0.58337118065171234</v>
      </c>
      <c r="I38" s="5"/>
      <c r="J38" s="5"/>
    </row>
    <row r="39" spans="1:10" x14ac:dyDescent="0.2">
      <c r="A39" s="20" t="s">
        <v>18</v>
      </c>
      <c r="B39" s="41">
        <v>-10835</v>
      </c>
      <c r="C39" s="22">
        <v>-902.82</v>
      </c>
      <c r="D39" s="22">
        <v>0</v>
      </c>
      <c r="E39" s="21">
        <f>SUM(C39+D39+Apr!E39-Apr!D39)</f>
        <v>-8125.2999999999993</v>
      </c>
      <c r="F39" s="8"/>
      <c r="G39" s="21">
        <f>B39-E39</f>
        <v>-2709.7000000000007</v>
      </c>
      <c r="H39" s="26">
        <f>E39/B39</f>
        <v>0.74991232118135664</v>
      </c>
      <c r="I39" s="5"/>
      <c r="J39" s="5"/>
    </row>
    <row r="40" spans="1:10" x14ac:dyDescent="0.2">
      <c r="A40" s="20"/>
      <c r="B40" s="41"/>
      <c r="C40" s="22"/>
      <c r="D40" s="22"/>
      <c r="E40" s="21"/>
      <c r="F40" s="8"/>
      <c r="G40" s="21"/>
      <c r="H40" s="26"/>
      <c r="I40" s="5"/>
      <c r="J40" s="5"/>
    </row>
    <row r="41" spans="1:10" x14ac:dyDescent="0.2">
      <c r="A41" s="20" t="s">
        <v>25</v>
      </c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43" t="s">
        <v>17</v>
      </c>
      <c r="B42" s="49">
        <v>95805.37</v>
      </c>
      <c r="C42" s="49">
        <v>13824.66</v>
      </c>
      <c r="D42" s="49">
        <v>0</v>
      </c>
      <c r="E42" s="44">
        <f>SUM(C42+D42+Apr!E42)</f>
        <v>156850.76</v>
      </c>
      <c r="F42" s="50"/>
      <c r="G42" s="44">
        <f>B42-E42</f>
        <v>-61045.390000000014</v>
      </c>
      <c r="H42" s="46">
        <f>E42/B42</f>
        <v>1.6371812978750566</v>
      </c>
      <c r="I42" s="5"/>
      <c r="J42" s="5"/>
    </row>
    <row r="43" spans="1:10" x14ac:dyDescent="0.2">
      <c r="A43" s="20" t="s">
        <v>18</v>
      </c>
      <c r="B43" s="41">
        <v>-95805.37</v>
      </c>
      <c r="C43" s="22">
        <v>-10866.21</v>
      </c>
      <c r="D43" s="22">
        <v>-1818.32</v>
      </c>
      <c r="E43" s="21">
        <f>SUM(C43+D43+Apr!E43-Apr!D43)</f>
        <v>-150383.46</v>
      </c>
      <c r="F43" s="8"/>
      <c r="G43" s="21">
        <f>B43-E43</f>
        <v>54578.09</v>
      </c>
      <c r="H43" s="26">
        <f>E43/B43</f>
        <v>1.5696767310642399</v>
      </c>
      <c r="I43" s="5"/>
      <c r="J43" s="5"/>
    </row>
    <row r="44" spans="1:10" x14ac:dyDescent="0.2">
      <c r="A44" s="20"/>
      <c r="B44" s="41"/>
      <c r="C44" s="22"/>
      <c r="D44" s="22"/>
      <c r="E44" s="21"/>
      <c r="F44" s="8"/>
      <c r="G44" s="21"/>
      <c r="H44" s="26"/>
      <c r="I44" s="5"/>
      <c r="J44" s="5"/>
    </row>
    <row r="45" spans="1:10" x14ac:dyDescent="0.2">
      <c r="A45" s="20" t="s">
        <v>26</v>
      </c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43" t="s">
        <v>17</v>
      </c>
      <c r="B46" s="49">
        <v>6700</v>
      </c>
      <c r="C46" s="49">
        <v>1031.9100000000001</v>
      </c>
      <c r="D46" s="49">
        <v>0</v>
      </c>
      <c r="E46" s="44">
        <f>SUM(C46+D46+Apr!E46)</f>
        <v>1956.1600000000003</v>
      </c>
      <c r="F46" s="50"/>
      <c r="G46" s="44">
        <f>B46-E46</f>
        <v>4743.84</v>
      </c>
      <c r="H46" s="46">
        <f>E46/B46</f>
        <v>0.29196417910447764</v>
      </c>
      <c r="I46" s="5"/>
      <c r="J46" s="5"/>
    </row>
    <row r="47" spans="1:10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SUM(C47+D47+Apr!E47-Apr!D4)</f>
        <v>-22501.200000000001</v>
      </c>
      <c r="F47" s="8"/>
      <c r="G47" s="21">
        <f>B47-E47</f>
        <v>-52477.8</v>
      </c>
      <c r="H47" s="26">
        <f>E47/B47</f>
        <v>0.30010002800784219</v>
      </c>
      <c r="I47" s="5"/>
      <c r="J47" s="5"/>
    </row>
    <row r="48" spans="1:10" x14ac:dyDescent="0.2">
      <c r="A48" s="20"/>
      <c r="B48" s="41"/>
      <c r="C48" s="22"/>
      <c r="D48" s="22"/>
      <c r="E48" s="21"/>
      <c r="F48" s="8"/>
      <c r="G48" s="21"/>
      <c r="H48" s="26"/>
      <c r="I48" s="5"/>
      <c r="J48" s="5"/>
    </row>
    <row r="49" spans="1:10" x14ac:dyDescent="0.2">
      <c r="A49" s="20" t="s">
        <v>27</v>
      </c>
      <c r="B49" s="41"/>
      <c r="C49" s="41"/>
      <c r="D49" s="41"/>
      <c r="E49" s="51"/>
      <c r="F49" s="36"/>
      <c r="G49" s="51"/>
      <c r="H49" s="66"/>
      <c r="I49" s="5"/>
      <c r="J49" s="5"/>
    </row>
    <row r="50" spans="1:10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SUM(C50+D50+Apr!E50)</f>
        <v>-134431.12</v>
      </c>
      <c r="F50" s="50"/>
      <c r="G50" s="44">
        <f>B50-E50</f>
        <v>273313.12</v>
      </c>
      <c r="H50" s="46">
        <f>E50/B50</f>
        <v>-0.96795207442289133</v>
      </c>
      <c r="I50" s="5"/>
      <c r="J50" s="5"/>
    </row>
    <row r="51" spans="1:10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SUM(C51+D51+Apr!E51-Apr!D51)</f>
        <v>-134762.5</v>
      </c>
      <c r="F51" s="8"/>
      <c r="G51" s="21">
        <f>B51-E51</f>
        <v>1550</v>
      </c>
      <c r="H51" s="26">
        <f>E51/B51</f>
        <v>1.0116355447123957</v>
      </c>
      <c r="I51" s="5"/>
      <c r="J51" s="5"/>
    </row>
    <row r="52" spans="1:10" x14ac:dyDescent="0.2">
      <c r="A52" s="20"/>
      <c r="B52" s="41"/>
      <c r="C52" s="22"/>
      <c r="D52" s="22"/>
      <c r="E52" s="21"/>
      <c r="F52" s="8"/>
      <c r="G52" s="21"/>
      <c r="H52" s="26"/>
      <c r="I52" s="5"/>
      <c r="J52" s="5"/>
    </row>
    <row r="53" spans="1:10" x14ac:dyDescent="0.2">
      <c r="A53" s="20"/>
      <c r="B53" s="41"/>
      <c r="C53" s="22"/>
      <c r="D53" s="22"/>
      <c r="E53" s="20"/>
      <c r="F53" s="5"/>
      <c r="G53" s="20"/>
      <c r="H53" s="26"/>
      <c r="I53" s="5"/>
      <c r="J53" s="5"/>
    </row>
    <row r="54" spans="1:10" x14ac:dyDescent="0.2">
      <c r="A54" s="48" t="s">
        <v>28</v>
      </c>
      <c r="B54" s="49">
        <f>SUM(B14+B18+B22+B30+B34+B38+B42+B46+B50+B26)</f>
        <v>12618989.899999999</v>
      </c>
      <c r="C54" s="49">
        <f>SUM(C14+C18+C22+C30+C38+C42+C34+C46+C50+C26)</f>
        <v>2674134.62</v>
      </c>
      <c r="D54" s="49">
        <f>SUM(D14+D18+D22+D30+D34+D38+D42+D46+D50)</f>
        <v>-10090.5</v>
      </c>
      <c r="E54" s="49">
        <f>E14+E18+E22+E30+E34+E52+E38+E26+E42+E46+E50</f>
        <v>12557581.27</v>
      </c>
      <c r="F54" s="50"/>
      <c r="G54" s="49">
        <f>G14+G18+G22+G30+G34+G52+G38+G26+G42+G46+G50</f>
        <v>61408.630000000063</v>
      </c>
      <c r="H54" s="46">
        <f>E54/B54</f>
        <v>0.99513363347727235</v>
      </c>
      <c r="I54" s="5"/>
      <c r="J54" s="5"/>
    </row>
    <row r="55" spans="1:10" x14ac:dyDescent="0.2">
      <c r="A55" s="24" t="s">
        <v>29</v>
      </c>
      <c r="B55" s="41">
        <f>SUM(B15+B19+B23+B31+B35+B39+B43+B47+B51+B27)</f>
        <v>-22433249.489999998</v>
      </c>
      <c r="C55" s="22">
        <f>C15+C19+C23+C31+C35+C53+C39+C27+C43</f>
        <v>-2462834.87</v>
      </c>
      <c r="D55" s="22">
        <f>SUM(D15+D19+D23+D27+D31+D35+D39+D43)</f>
        <v>-202264.22999999998</v>
      </c>
      <c r="E55" s="22">
        <f>E15+E19+E23+E31+E35+E53+E39+E27+E43+E47+E51</f>
        <v>-20566153.27</v>
      </c>
      <c r="F55" s="8"/>
      <c r="G55" s="22">
        <f>G15+G19+G23+G31+G35+G53+G39+G27+G43+G47+G51</f>
        <v>-1867096.2199999995</v>
      </c>
      <c r="H55" s="26">
        <f>E55/B55</f>
        <v>0.9167710312840639</v>
      </c>
      <c r="I55" s="5"/>
      <c r="J55" s="5"/>
    </row>
    <row r="56" spans="1:10" x14ac:dyDescent="0.2">
      <c r="A56" s="5"/>
      <c r="B56" s="5"/>
      <c r="C56" s="5"/>
      <c r="D56" s="5"/>
      <c r="E56" s="5"/>
      <c r="F56" s="5"/>
      <c r="G56" s="5"/>
      <c r="H56" s="14"/>
      <c r="I56" s="5"/>
      <c r="J56" s="5"/>
    </row>
    <row r="57" spans="1:10" ht="15" x14ac:dyDescent="0.3">
      <c r="A57" s="105"/>
      <c r="B57" s="105"/>
      <c r="C57" s="105"/>
      <c r="D57" s="105"/>
      <c r="E57" s="105"/>
      <c r="F57" s="105"/>
      <c r="G57" s="105"/>
      <c r="H57" s="105"/>
      <c r="I57" s="5"/>
      <c r="J57" s="5"/>
    </row>
    <row r="58" spans="1:10" x14ac:dyDescent="0.2">
      <c r="A58" s="2" t="s">
        <v>30</v>
      </c>
      <c r="I58" s="5"/>
      <c r="J58" s="5"/>
    </row>
    <row r="59" spans="1:10" x14ac:dyDescent="0.2">
      <c r="I59" s="5"/>
      <c r="J59" s="5"/>
    </row>
    <row r="60" spans="1:10" x14ac:dyDescent="0.2">
      <c r="A60" s="96"/>
      <c r="B60" s="39" t="s">
        <v>11</v>
      </c>
      <c r="C60" s="39" t="s">
        <v>67</v>
      </c>
      <c r="F60" s="3"/>
      <c r="G60" s="3"/>
      <c r="H60" s="9"/>
      <c r="I60" s="5"/>
      <c r="J60" s="5"/>
    </row>
    <row r="61" spans="1:10" ht="15.75" x14ac:dyDescent="0.25">
      <c r="A61" s="96" t="s">
        <v>32</v>
      </c>
      <c r="B61" s="39" t="s">
        <v>33</v>
      </c>
      <c r="C61" s="39" t="s">
        <v>33</v>
      </c>
      <c r="E61" s="54" t="s">
        <v>34</v>
      </c>
      <c r="G61" s="54" t="s">
        <v>35</v>
      </c>
      <c r="H61" s="9"/>
    </row>
    <row r="62" spans="1:10" ht="15" x14ac:dyDescent="0.25">
      <c r="A62" s="97" t="s">
        <v>36</v>
      </c>
      <c r="B62" s="52">
        <v>2270779.9300000002</v>
      </c>
      <c r="C62" s="52">
        <v>451567.23</v>
      </c>
      <c r="D62" s="6"/>
      <c r="E62" s="55" t="s">
        <v>37</v>
      </c>
      <c r="G62" s="68">
        <v>17152.73</v>
      </c>
      <c r="H62" s="11"/>
    </row>
    <row r="63" spans="1:10" ht="15" x14ac:dyDescent="0.25">
      <c r="A63" s="97" t="s">
        <v>38</v>
      </c>
      <c r="B63" s="52">
        <v>136118.21</v>
      </c>
      <c r="C63" s="52">
        <v>71095.03</v>
      </c>
      <c r="D63" s="6"/>
      <c r="E63" s="55" t="s">
        <v>39</v>
      </c>
      <c r="G63" s="68">
        <v>17275.72</v>
      </c>
      <c r="H63" s="11"/>
    </row>
    <row r="64" spans="1:10" ht="15" x14ac:dyDescent="0.25">
      <c r="A64" s="97" t="s">
        <v>40</v>
      </c>
      <c r="B64" s="52">
        <v>44133.55</v>
      </c>
      <c r="C64" s="52">
        <v>8847.19</v>
      </c>
      <c r="D64" s="8"/>
      <c r="E64" s="55" t="s">
        <v>41</v>
      </c>
      <c r="G64" s="68">
        <v>340959.19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43</v>
      </c>
      <c r="G65" s="68">
        <v>131846.07999999999</v>
      </c>
      <c r="H65" s="11"/>
    </row>
    <row r="66" spans="1:8" ht="15" x14ac:dyDescent="0.25">
      <c r="A66" s="97" t="s">
        <v>44</v>
      </c>
      <c r="B66" s="52">
        <v>9606.67</v>
      </c>
      <c r="C66" s="52">
        <v>8059.33</v>
      </c>
      <c r="D66" s="8"/>
      <c r="E66" s="55" t="s">
        <v>45</v>
      </c>
      <c r="G66" s="68">
        <v>17826.349999999999</v>
      </c>
    </row>
    <row r="67" spans="1:8" ht="15" x14ac:dyDescent="0.25">
      <c r="A67" s="98" t="s">
        <v>46</v>
      </c>
      <c r="B67" s="52"/>
      <c r="C67" s="52">
        <v>3656</v>
      </c>
      <c r="D67" s="8"/>
      <c r="E67" s="55" t="s">
        <v>47</v>
      </c>
      <c r="G67" s="68">
        <v>68524.179999999993</v>
      </c>
      <c r="H67" s="11"/>
    </row>
    <row r="68" spans="1:8" ht="15" x14ac:dyDescent="0.25">
      <c r="A68" s="97" t="s">
        <v>48</v>
      </c>
      <c r="B68" s="52">
        <v>10121.629999999999</v>
      </c>
      <c r="C68" s="52">
        <v>8587.7000000000007</v>
      </c>
      <c r="D68" s="8"/>
      <c r="E68" s="55" t="s">
        <v>65</v>
      </c>
      <c r="G68" s="68">
        <v>750</v>
      </c>
      <c r="H68" s="11"/>
    </row>
    <row r="69" spans="1:8" ht="15" x14ac:dyDescent="0.25">
      <c r="A69" s="98" t="s">
        <v>70</v>
      </c>
      <c r="B69" s="52">
        <v>0</v>
      </c>
      <c r="C69" s="52">
        <v>0</v>
      </c>
      <c r="D69" s="8"/>
      <c r="E69" s="55" t="s">
        <v>51</v>
      </c>
      <c r="G69" s="68">
        <v>78.3</v>
      </c>
    </row>
    <row r="70" spans="1:8" ht="15" x14ac:dyDescent="0.25">
      <c r="A70" s="98" t="s">
        <v>71</v>
      </c>
      <c r="B70" s="52">
        <v>0</v>
      </c>
      <c r="C70" s="52">
        <v>0</v>
      </c>
      <c r="D70" s="8"/>
      <c r="E70" s="55" t="s">
        <v>83</v>
      </c>
      <c r="G70" s="56">
        <v>12768</v>
      </c>
      <c r="H70" s="11"/>
    </row>
    <row r="71" spans="1:8" ht="15" x14ac:dyDescent="0.25">
      <c r="A71" s="98" t="s">
        <v>78</v>
      </c>
      <c r="B71" s="52"/>
      <c r="C71" s="52"/>
      <c r="D71" s="8"/>
      <c r="E71" s="55"/>
      <c r="G71" s="68"/>
    </row>
    <row r="72" spans="1:8" ht="15" x14ac:dyDescent="0.25">
      <c r="A72" s="98"/>
      <c r="B72" s="52"/>
      <c r="C72" s="52"/>
      <c r="D72" s="8"/>
      <c r="E72" s="55"/>
      <c r="G72" s="68"/>
    </row>
    <row r="73" spans="1:8" ht="16.5" thickBot="1" x14ac:dyDescent="0.3">
      <c r="A73" s="98"/>
      <c r="B73" s="52"/>
      <c r="C73" s="52"/>
      <c r="E73"/>
      <c r="G73" s="57">
        <f>SUM(G62:G72)</f>
        <v>607180.55000000005</v>
      </c>
    </row>
    <row r="74" spans="1:8" ht="13.5" thickTop="1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SUM(B62-B63-B64+B65-B66-B67-B68+B69+B70-B71)</f>
        <v>2075899.8700000003</v>
      </c>
      <c r="C79" s="64">
        <f>SUM(C62-C63-C64+C65-C66-C67-C68+C69+C70-C71)</f>
        <v>356421.97999999992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96763.95</v>
      </c>
      <c r="C81" s="101">
        <v>111026.09</v>
      </c>
    </row>
    <row r="82" spans="1:3" x14ac:dyDescent="0.2">
      <c r="A82" s="40" t="s">
        <v>58</v>
      </c>
      <c r="B82" s="101">
        <v>1675985.98</v>
      </c>
      <c r="C82" s="101">
        <v>1899471.63</v>
      </c>
    </row>
    <row r="83" spans="1:3" x14ac:dyDescent="0.2">
      <c r="A83" s="40" t="s">
        <v>59</v>
      </c>
      <c r="B83" s="101">
        <v>4693526.59</v>
      </c>
      <c r="C83" s="101">
        <v>6090676.5499999998</v>
      </c>
    </row>
    <row r="84" spans="1:3" ht="15" x14ac:dyDescent="0.35">
      <c r="A84" s="42" t="s">
        <v>60</v>
      </c>
      <c r="B84" s="65">
        <f>SUM(B81:B83)</f>
        <v>6466276.5199999996</v>
      </c>
      <c r="C84" s="65">
        <f>SUM(C81:C83)</f>
        <v>8101174.2699999996</v>
      </c>
    </row>
    <row r="85" spans="1:3" x14ac:dyDescent="0.2">
      <c r="A85" s="87"/>
      <c r="B85" s="12"/>
      <c r="C85" s="12"/>
    </row>
  </sheetData>
  <mergeCells count="4">
    <mergeCell ref="A2:H2"/>
    <mergeCell ref="A3:H3"/>
    <mergeCell ref="A4:H4"/>
    <mergeCell ref="A57:H57"/>
  </mergeCells>
  <dataValidations count="1">
    <dataValidation showInputMessage="1" showErrorMessage="1" sqref="C6"/>
  </dataValidations>
  <pageMargins left="0.5" right="0.5" top="0.5" bottom="0.5" header="0.5" footer="0.5"/>
  <pageSetup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opLeftCell="A46" zoomScaleNormal="100" workbookViewId="0">
      <selection activeCell="A57" sqref="A57:G85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1.6640625" style="1" customWidth="1"/>
    <col min="7" max="7" width="17" style="1" customWidth="1"/>
    <col min="8" max="8" width="14.21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2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2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"/>
      <c r="J2" s="5"/>
    </row>
    <row r="3" spans="1:12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"/>
      <c r="J3" s="5"/>
    </row>
    <row r="4" spans="1:12" x14ac:dyDescent="0.2">
      <c r="A4" s="102"/>
      <c r="B4" s="5"/>
      <c r="C4" s="5"/>
      <c r="D4" s="5"/>
      <c r="E4" s="5"/>
      <c r="F4" s="5"/>
      <c r="G4" s="16" t="s">
        <v>3</v>
      </c>
      <c r="H4" s="34">
        <v>42522</v>
      </c>
      <c r="I4" s="5"/>
      <c r="J4" s="5"/>
    </row>
    <row r="5" spans="1:12" x14ac:dyDescent="0.2">
      <c r="A5" s="17" t="s">
        <v>4</v>
      </c>
      <c r="B5" s="5"/>
      <c r="C5" s="5"/>
      <c r="D5" s="5"/>
      <c r="E5" s="5"/>
      <c r="F5" s="5"/>
      <c r="G5" s="5"/>
      <c r="H5" s="14"/>
      <c r="I5" s="5"/>
      <c r="J5" s="5"/>
    </row>
    <row r="6" spans="1:12" x14ac:dyDescent="0.2">
      <c r="A6" s="5"/>
      <c r="B6" s="5"/>
      <c r="C6" s="5"/>
      <c r="D6" s="5"/>
      <c r="E6" s="5"/>
      <c r="F6" s="5"/>
      <c r="G6" s="5"/>
      <c r="H6" s="14"/>
      <c r="I6" s="5"/>
      <c r="J6" s="5"/>
    </row>
    <row r="7" spans="1:12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  <c r="I7" s="5"/>
      <c r="J7" s="5"/>
    </row>
    <row r="8" spans="1:12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  <c r="I8" s="5"/>
      <c r="J8" s="5"/>
    </row>
    <row r="9" spans="1:12" x14ac:dyDescent="0.2">
      <c r="A9" s="20"/>
      <c r="B9" s="20"/>
      <c r="C9" s="20"/>
      <c r="D9" s="20"/>
      <c r="E9" s="20"/>
      <c r="F9" s="5"/>
      <c r="G9" s="20"/>
      <c r="H9" s="26"/>
      <c r="I9" s="5"/>
      <c r="J9" s="5"/>
    </row>
    <row r="10" spans="1:12" x14ac:dyDescent="0.2">
      <c r="A10" s="20" t="s">
        <v>16</v>
      </c>
      <c r="B10" s="21"/>
      <c r="C10" s="21"/>
      <c r="D10" s="21"/>
      <c r="E10" s="21"/>
      <c r="F10" s="7"/>
      <c r="G10" s="21"/>
      <c r="H10" s="26"/>
      <c r="I10" s="5"/>
      <c r="J10" s="5"/>
    </row>
    <row r="11" spans="1:12" x14ac:dyDescent="0.2">
      <c r="A11" s="43" t="s">
        <v>17</v>
      </c>
      <c r="B11" s="44">
        <v>9682442.5299999993</v>
      </c>
      <c r="C11" s="44">
        <v>760532.43</v>
      </c>
      <c r="D11" s="44">
        <v>0</v>
      </c>
      <c r="E11" s="44">
        <f>SUM(May!E14-May!D14+June!C11)</f>
        <v>14073188.59</v>
      </c>
      <c r="F11" s="45"/>
      <c r="G11" s="44">
        <f>B11-E11</f>
        <v>-4390746.0600000005</v>
      </c>
      <c r="H11" s="46">
        <f>E11/B11</f>
        <v>1.4534750447932687</v>
      </c>
      <c r="I11" s="5"/>
      <c r="J11" s="5"/>
    </row>
    <row r="12" spans="1:12" x14ac:dyDescent="0.2">
      <c r="A12" s="20" t="s">
        <v>18</v>
      </c>
      <c r="B12" s="51">
        <v>-9743536.1199999992</v>
      </c>
      <c r="C12" s="21">
        <v>-1702050.52</v>
      </c>
      <c r="D12" s="21">
        <v>-58139.55</v>
      </c>
      <c r="E12" s="21">
        <v>-9722676.6099999994</v>
      </c>
      <c r="F12" s="7"/>
      <c r="G12" s="21">
        <f>B12-E12</f>
        <v>-20859.509999999776</v>
      </c>
      <c r="H12" s="26">
        <f>E12/B12</f>
        <v>0.99785914377048568</v>
      </c>
      <c r="I12" s="5"/>
      <c r="J12" s="5"/>
    </row>
    <row r="13" spans="1:12" x14ac:dyDescent="0.2">
      <c r="A13" s="20"/>
      <c r="B13" s="40"/>
      <c r="C13" s="21"/>
      <c r="D13" s="21"/>
      <c r="E13" s="21"/>
      <c r="F13" s="7"/>
      <c r="G13" s="21"/>
      <c r="H13" s="26"/>
      <c r="I13" s="5"/>
      <c r="J13" s="5"/>
    </row>
    <row r="14" spans="1:12" x14ac:dyDescent="0.2">
      <c r="A14" s="20" t="s">
        <v>19</v>
      </c>
      <c r="B14" s="51"/>
      <c r="C14" s="21"/>
      <c r="D14" s="21"/>
      <c r="E14" s="21"/>
      <c r="F14" s="7"/>
      <c r="G14" s="21"/>
      <c r="H14" s="27"/>
      <c r="I14" s="5"/>
      <c r="J14" s="5"/>
    </row>
    <row r="15" spans="1:12" x14ac:dyDescent="0.2">
      <c r="A15" s="43" t="s">
        <v>17</v>
      </c>
      <c r="B15" s="44">
        <v>415476</v>
      </c>
      <c r="C15" s="44">
        <v>37264.449999999997</v>
      </c>
      <c r="D15" s="44">
        <v>0</v>
      </c>
      <c r="E15" s="44">
        <f>SUM(D15+C15+May!E18)</f>
        <v>460804.87999999995</v>
      </c>
      <c r="F15" s="45"/>
      <c r="G15" s="44">
        <f>B15-E15</f>
        <v>-45328.879999999946</v>
      </c>
      <c r="H15" s="46">
        <f>E15/B15</f>
        <v>1.1091010792440477</v>
      </c>
      <c r="I15" s="5"/>
      <c r="J15" s="5"/>
    </row>
    <row r="16" spans="1:12" x14ac:dyDescent="0.2">
      <c r="A16" s="20" t="s">
        <v>18</v>
      </c>
      <c r="B16" s="51">
        <v>-496531</v>
      </c>
      <c r="C16" s="21">
        <v>-61658.04</v>
      </c>
      <c r="D16" s="21">
        <v>0</v>
      </c>
      <c r="E16" s="21">
        <f>SUM(D16+C16+May!E19-May!D19)</f>
        <v>-488344.86999999994</v>
      </c>
      <c r="F16" s="7"/>
      <c r="G16" s="21">
        <f>B16-E16</f>
        <v>-8186.1300000000629</v>
      </c>
      <c r="H16" s="26">
        <f>E16/B16</f>
        <v>0.98351335566157994</v>
      </c>
      <c r="I16" s="5"/>
      <c r="J16" s="5"/>
      <c r="L16" s="33"/>
    </row>
    <row r="17" spans="1:10" x14ac:dyDescent="0.2">
      <c r="A17" s="20"/>
      <c r="B17" s="51"/>
      <c r="C17" s="21"/>
      <c r="D17" s="21"/>
      <c r="E17" s="21"/>
      <c r="F17" s="7"/>
      <c r="G17" s="21"/>
      <c r="H17" s="26"/>
      <c r="I17" s="5"/>
      <c r="J17" s="5"/>
    </row>
    <row r="18" spans="1:10" x14ac:dyDescent="0.2">
      <c r="A18" s="20" t="s">
        <v>20</v>
      </c>
      <c r="B18" s="51"/>
      <c r="C18" s="21"/>
      <c r="D18" s="21"/>
      <c r="E18" s="21"/>
      <c r="F18" s="7"/>
      <c r="G18" s="21"/>
      <c r="H18" s="26"/>
      <c r="I18" s="5"/>
      <c r="J18" s="5"/>
    </row>
    <row r="19" spans="1:10" x14ac:dyDescent="0.2">
      <c r="A19" s="43" t="s">
        <v>17</v>
      </c>
      <c r="B19" s="44">
        <v>269746</v>
      </c>
      <c r="C19" s="44">
        <v>28138.65</v>
      </c>
      <c r="D19" s="44">
        <v>0</v>
      </c>
      <c r="E19" s="44">
        <f>SUM(D19+C19+May!E22)</f>
        <v>151186.47</v>
      </c>
      <c r="F19" s="45"/>
      <c r="G19" s="44">
        <f>B19-E19</f>
        <v>118559.53</v>
      </c>
      <c r="H19" s="46">
        <f>E19/B19</f>
        <v>0.56047715258057584</v>
      </c>
      <c r="I19" s="5"/>
      <c r="J19" s="5"/>
    </row>
    <row r="20" spans="1:10" x14ac:dyDescent="0.2">
      <c r="A20" s="20" t="s">
        <v>18</v>
      </c>
      <c r="B20" s="51">
        <v>-260038.5</v>
      </c>
      <c r="C20" s="21">
        <v>-72512.320000000007</v>
      </c>
      <c r="D20" s="21">
        <v>0</v>
      </c>
      <c r="E20" s="21">
        <f>SUM(C20+D20+May!E23-May!D23)</f>
        <v>-256360.03000000003</v>
      </c>
      <c r="F20" s="7"/>
      <c r="G20" s="21">
        <f>B20-E20</f>
        <v>-3678.4699999999721</v>
      </c>
      <c r="H20" s="26">
        <f>E20/B20</f>
        <v>0.98585413313797776</v>
      </c>
      <c r="I20" s="5"/>
      <c r="J20" s="5"/>
    </row>
    <row r="21" spans="1:10" x14ac:dyDescent="0.2">
      <c r="A21" s="20"/>
      <c r="B21" s="51"/>
      <c r="C21" s="21"/>
      <c r="D21" s="21"/>
      <c r="E21" s="21"/>
      <c r="F21" s="7"/>
      <c r="G21" s="21"/>
      <c r="H21" s="26"/>
      <c r="I21" s="5"/>
      <c r="J21" s="5"/>
    </row>
    <row r="22" spans="1:10" x14ac:dyDescent="0.2">
      <c r="A22" s="20" t="s">
        <v>21</v>
      </c>
      <c r="B22" s="51"/>
      <c r="C22" s="21"/>
      <c r="D22" s="21"/>
      <c r="E22" s="21"/>
      <c r="F22" s="7"/>
      <c r="G22" s="21"/>
      <c r="H22" s="26"/>
      <c r="I22" s="5"/>
      <c r="J22" s="5"/>
    </row>
    <row r="23" spans="1:10" x14ac:dyDescent="0.2">
      <c r="A23" s="43" t="s">
        <v>17</v>
      </c>
      <c r="B23" s="44">
        <v>0</v>
      </c>
      <c r="C23" s="44">
        <v>1998149.45</v>
      </c>
      <c r="D23" s="44">
        <v>0</v>
      </c>
      <c r="E23" s="44">
        <f>SUM(D23+C23+May!E26)</f>
        <v>2062481.89</v>
      </c>
      <c r="F23" s="45"/>
      <c r="G23" s="44">
        <f>SUM(B23-E23)</f>
        <v>-2062481.89</v>
      </c>
      <c r="H23" s="46" t="e">
        <f>SUM(E23/B23)</f>
        <v>#DIV/0!</v>
      </c>
      <c r="I23" s="5"/>
      <c r="J23" s="5"/>
    </row>
    <row r="24" spans="1:10" x14ac:dyDescent="0.2">
      <c r="A24" s="20" t="s">
        <v>18</v>
      </c>
      <c r="B24" s="51">
        <v>-9713618</v>
      </c>
      <c r="C24" s="21">
        <v>-427785.26</v>
      </c>
      <c r="D24" s="21">
        <v>-133085.21</v>
      </c>
      <c r="E24" s="21">
        <f>SUM(May!E27+C24+D24-May!D27)</f>
        <v>-10103724.16</v>
      </c>
      <c r="F24" s="7"/>
      <c r="G24" s="21">
        <f>SUM(B24-E24)</f>
        <v>390106.16000000015</v>
      </c>
      <c r="H24" s="26">
        <f>SUM(E24/B24)</f>
        <v>1.0401607475196162</v>
      </c>
      <c r="I24" s="5"/>
      <c r="J24" s="5"/>
    </row>
    <row r="25" spans="1:10" x14ac:dyDescent="0.2">
      <c r="A25" s="20"/>
      <c r="B25" s="51"/>
      <c r="C25" s="21"/>
      <c r="D25" s="21"/>
      <c r="E25" s="21"/>
      <c r="F25" s="7"/>
      <c r="G25" s="21"/>
      <c r="H25" s="26"/>
      <c r="I25" s="5"/>
      <c r="J25" s="5"/>
    </row>
    <row r="26" spans="1:10" x14ac:dyDescent="0.2">
      <c r="A26" s="20" t="s">
        <v>22</v>
      </c>
      <c r="B26" s="41"/>
      <c r="C26" s="22"/>
      <c r="D26" s="22"/>
      <c r="E26" s="21"/>
      <c r="F26" s="8"/>
      <c r="G26" s="21"/>
      <c r="H26" s="26"/>
      <c r="I26" s="5"/>
      <c r="J26" s="5"/>
    </row>
    <row r="27" spans="1:10" x14ac:dyDescent="0.2">
      <c r="A27" s="43" t="s">
        <v>17</v>
      </c>
      <c r="B27" s="49">
        <v>1988305</v>
      </c>
      <c r="C27" s="49">
        <v>1690972.09</v>
      </c>
      <c r="D27" s="49">
        <v>0</v>
      </c>
      <c r="E27" s="44">
        <f>SUM(D27+C27+May!E30)</f>
        <v>286048.85999999964</v>
      </c>
      <c r="F27" s="50"/>
      <c r="G27" s="44">
        <f>B27-E27</f>
        <v>1702256.1400000004</v>
      </c>
      <c r="H27" s="46">
        <f>E27/B27</f>
        <v>0.14386568459064361</v>
      </c>
      <c r="I27" s="5"/>
      <c r="J27" s="5"/>
    </row>
    <row r="28" spans="1:10" x14ac:dyDescent="0.2">
      <c r="A28" s="20" t="s">
        <v>18</v>
      </c>
      <c r="B28" s="41">
        <v>-1893894</v>
      </c>
      <c r="C28" s="22">
        <v>-40304.660000000003</v>
      </c>
      <c r="D28" s="22">
        <v>0</v>
      </c>
      <c r="E28" s="21">
        <f>SUM(D28+C28+May!E31-May!D31)</f>
        <v>-1957888.8299999998</v>
      </c>
      <c r="F28" s="8"/>
      <c r="G28" s="21">
        <f>B28-E28</f>
        <v>63994.829999999842</v>
      </c>
      <c r="H28" s="26">
        <f>E28/B28</f>
        <v>1.0337900801206403</v>
      </c>
      <c r="I28" s="5"/>
      <c r="J28" s="5"/>
    </row>
    <row r="29" spans="1:10" x14ac:dyDescent="0.2">
      <c r="A29" s="20"/>
      <c r="B29" s="41"/>
      <c r="C29" s="22"/>
      <c r="D29" s="22"/>
      <c r="E29" s="21"/>
      <c r="F29" s="8"/>
      <c r="G29" s="21"/>
      <c r="H29" s="26"/>
      <c r="I29" s="5"/>
      <c r="J29" s="5"/>
    </row>
    <row r="30" spans="1:10" x14ac:dyDescent="0.2">
      <c r="A30" s="20" t="s">
        <v>23</v>
      </c>
      <c r="B30" s="41"/>
      <c r="C30" s="22"/>
      <c r="D30" s="22"/>
      <c r="E30" s="21"/>
      <c r="F30" s="8"/>
      <c r="G30" s="21"/>
      <c r="H30" s="26"/>
      <c r="I30" s="5"/>
      <c r="J30" s="5"/>
    </row>
    <row r="31" spans="1:10" x14ac:dyDescent="0.2">
      <c r="A31" s="43" t="s">
        <v>17</v>
      </c>
      <c r="B31" s="49">
        <v>10800</v>
      </c>
      <c r="C31" s="49">
        <v>73.45</v>
      </c>
      <c r="D31" s="49">
        <v>0</v>
      </c>
      <c r="E31" s="44">
        <f>SUM(D31+C31+May!E34)</f>
        <v>18396.14</v>
      </c>
      <c r="F31" s="50"/>
      <c r="G31" s="44">
        <f>B31-E31</f>
        <v>-7596.1399999999994</v>
      </c>
      <c r="H31" s="46">
        <f>E31/B31</f>
        <v>1.7033462962962962</v>
      </c>
      <c r="I31" s="5"/>
      <c r="J31" s="5"/>
    </row>
    <row r="32" spans="1:10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SUM(D32+C32+May!E35-May!D35)</f>
        <v>-16350</v>
      </c>
      <c r="F32" s="8"/>
      <c r="G32" s="21">
        <f>B32-E32</f>
        <v>5550</v>
      </c>
      <c r="H32" s="26">
        <f>E32/B32</f>
        <v>1.5138888888888888</v>
      </c>
      <c r="I32" s="5"/>
      <c r="J32" s="5"/>
    </row>
    <row r="33" spans="1:10" x14ac:dyDescent="0.2">
      <c r="A33" s="20"/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20" t="s">
        <v>24</v>
      </c>
      <c r="B34" s="41"/>
      <c r="C34" s="22"/>
      <c r="D34" s="22"/>
      <c r="E34" s="21"/>
      <c r="F34" s="8"/>
      <c r="G34" s="21"/>
      <c r="H34" s="26"/>
      <c r="I34" s="5"/>
      <c r="J34" s="5"/>
    </row>
    <row r="35" spans="1:10" x14ac:dyDescent="0.2">
      <c r="A35" s="43" t="s">
        <v>17</v>
      </c>
      <c r="B35" s="49">
        <v>10833</v>
      </c>
      <c r="C35" s="49">
        <v>418.33</v>
      </c>
      <c r="D35" s="49">
        <v>0</v>
      </c>
      <c r="E35" s="44">
        <f>SUM(D35+C35+May!E38)</f>
        <v>6737.99</v>
      </c>
      <c r="F35" s="50"/>
      <c r="G35" s="44">
        <f>B35-E35</f>
        <v>4095.01</v>
      </c>
      <c r="H35" s="46">
        <f>E35/B35</f>
        <v>0.62198744576756204</v>
      </c>
      <c r="I35" s="5"/>
      <c r="J35" s="5"/>
    </row>
    <row r="36" spans="1:10" x14ac:dyDescent="0.2">
      <c r="A36" s="20" t="s">
        <v>18</v>
      </c>
      <c r="B36" s="41">
        <v>-10835</v>
      </c>
      <c r="C36" s="22">
        <v>-2708.5</v>
      </c>
      <c r="D36" s="22">
        <v>0</v>
      </c>
      <c r="E36" s="21">
        <f>SUM(C36+May!E39-May!D39)</f>
        <v>-10833.8</v>
      </c>
      <c r="F36" s="8"/>
      <c r="G36" s="21">
        <f>B36-E36</f>
        <v>-1.2000000000007276</v>
      </c>
      <c r="H36" s="26">
        <f>E36/B36</f>
        <v>0.99988924780802946</v>
      </c>
      <c r="I36" s="5"/>
      <c r="J36" s="5"/>
    </row>
    <row r="37" spans="1:10" x14ac:dyDescent="0.2">
      <c r="A37" s="20"/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20" t="s">
        <v>25</v>
      </c>
      <c r="B38" s="41"/>
      <c r="C38" s="22"/>
      <c r="D38" s="22"/>
      <c r="E38" s="21"/>
      <c r="F38" s="8"/>
      <c r="G38" s="21"/>
      <c r="H38" s="26"/>
      <c r="I38" s="5"/>
      <c r="J38" s="5"/>
    </row>
    <row r="39" spans="1:10" x14ac:dyDescent="0.2">
      <c r="A39" s="43" t="s">
        <v>17</v>
      </c>
      <c r="B39" s="49">
        <v>95805.37</v>
      </c>
      <c r="C39" s="49">
        <v>29762.01</v>
      </c>
      <c r="D39" s="49">
        <v>0</v>
      </c>
      <c r="E39" s="44">
        <f>SUM(D39+C39+May!E42)</f>
        <v>186612.77000000002</v>
      </c>
      <c r="F39" s="50"/>
      <c r="G39" s="44">
        <f>B39-E39</f>
        <v>-90807.400000000023</v>
      </c>
      <c r="H39" s="46">
        <f>E39/B39</f>
        <v>1.9478320474102864</v>
      </c>
      <c r="I39" s="5"/>
      <c r="J39" s="5"/>
    </row>
    <row r="40" spans="1:10" x14ac:dyDescent="0.2">
      <c r="A40" s="20" t="s">
        <v>18</v>
      </c>
      <c r="B40" s="41">
        <v>-95805.37</v>
      </c>
      <c r="C40" s="22">
        <v>-28600.44</v>
      </c>
      <c r="D40" s="22">
        <v>-860.32</v>
      </c>
      <c r="E40" s="21">
        <f>SUM(D40+C40+May!E43-May!D43)</f>
        <v>-178025.9</v>
      </c>
      <c r="F40" s="8"/>
      <c r="G40" s="21">
        <f>B40-E40</f>
        <v>82220.53</v>
      </c>
      <c r="H40" s="26">
        <f>E40/B40</f>
        <v>1.8582037729200358</v>
      </c>
      <c r="I40" s="5"/>
      <c r="J40" s="5"/>
    </row>
    <row r="41" spans="1:10" x14ac:dyDescent="0.2">
      <c r="A41" s="20"/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20" t="s">
        <v>26</v>
      </c>
      <c r="B42" s="41"/>
      <c r="C42" s="22"/>
      <c r="D42" s="22"/>
      <c r="E42" s="21"/>
      <c r="F42" s="8"/>
      <c r="G42" s="21"/>
      <c r="H42" s="26"/>
      <c r="I42" s="5"/>
      <c r="J42" s="5"/>
    </row>
    <row r="43" spans="1:10" x14ac:dyDescent="0.2">
      <c r="A43" s="43" t="s">
        <v>17</v>
      </c>
      <c r="B43" s="49">
        <v>6700</v>
      </c>
      <c r="C43" s="49">
        <v>2001.32</v>
      </c>
      <c r="D43" s="49">
        <v>0</v>
      </c>
      <c r="E43" s="44">
        <f>SUM(D43+C43+May!E46)</f>
        <v>3957.4800000000005</v>
      </c>
      <c r="F43" s="50"/>
      <c r="G43" s="44">
        <f>B43-E43</f>
        <v>2742.5199999999995</v>
      </c>
      <c r="H43" s="46">
        <f>E43/B43</f>
        <v>0.59066865671641799</v>
      </c>
      <c r="I43" s="5"/>
      <c r="J43" s="5"/>
    </row>
    <row r="44" spans="1:10" x14ac:dyDescent="0.2">
      <c r="A44" s="20" t="s">
        <v>18</v>
      </c>
      <c r="B44" s="41">
        <v>-74979</v>
      </c>
      <c r="C44" s="22">
        <v>0</v>
      </c>
      <c r="D44" s="22">
        <v>0</v>
      </c>
      <c r="E44" s="21">
        <f>SUM(D44+C44+May!E47-May!D47)</f>
        <v>-22501.200000000001</v>
      </c>
      <c r="F44" s="8"/>
      <c r="G44" s="21">
        <f>B44-E44</f>
        <v>-52477.8</v>
      </c>
      <c r="H44" s="26">
        <f>E44/B44</f>
        <v>0.30010002800784219</v>
      </c>
      <c r="I44" s="5"/>
      <c r="J44" s="5"/>
    </row>
    <row r="45" spans="1:10" x14ac:dyDescent="0.2">
      <c r="A45" s="20"/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20" t="s">
        <v>27</v>
      </c>
      <c r="B46" s="41"/>
      <c r="C46" s="22"/>
      <c r="D46" s="22"/>
      <c r="E46" s="21"/>
      <c r="F46" s="8"/>
      <c r="G46" s="21"/>
      <c r="H46" s="26"/>
      <c r="I46" s="5"/>
      <c r="J46" s="5"/>
    </row>
    <row r="47" spans="1:10" x14ac:dyDescent="0.2">
      <c r="A47" s="43" t="s">
        <v>17</v>
      </c>
      <c r="B47" s="49">
        <v>138882</v>
      </c>
      <c r="C47" s="49">
        <v>1797.26</v>
      </c>
      <c r="D47" s="49">
        <v>0</v>
      </c>
      <c r="E47" s="44">
        <f>SUM(D47+C47+May!E50)</f>
        <v>-132633.85999999999</v>
      </c>
      <c r="F47" s="50"/>
      <c r="G47" s="44">
        <f>B47-E47</f>
        <v>271515.86</v>
      </c>
      <c r="H47" s="46">
        <f>E47/B47</f>
        <v>-0.95501116055356339</v>
      </c>
      <c r="I47" s="5"/>
      <c r="J47" s="5"/>
    </row>
    <row r="48" spans="1:10" x14ac:dyDescent="0.2">
      <c r="A48" s="20" t="s">
        <v>18</v>
      </c>
      <c r="B48" s="41">
        <v>-133212.5</v>
      </c>
      <c r="C48" s="22">
        <v>0</v>
      </c>
      <c r="D48" s="22">
        <v>0</v>
      </c>
      <c r="E48" s="21">
        <f>SUM(D48+C48+May!E51-May!D51)</f>
        <v>-134762.5</v>
      </c>
      <c r="F48" s="8"/>
      <c r="G48" s="21">
        <f>B48-E48</f>
        <v>1550</v>
      </c>
      <c r="H48" s="26">
        <f>E48/B48</f>
        <v>1.0116355447123957</v>
      </c>
      <c r="I48" s="5"/>
      <c r="J48" s="5"/>
    </row>
    <row r="49" spans="1:10" x14ac:dyDescent="0.2">
      <c r="A49" s="20"/>
      <c r="B49" s="41"/>
      <c r="C49" s="22"/>
      <c r="D49" s="22"/>
      <c r="E49" s="21"/>
      <c r="F49" s="8"/>
      <c r="G49" s="21"/>
      <c r="H49" s="26"/>
      <c r="I49" s="5"/>
      <c r="J49" s="5"/>
    </row>
    <row r="50" spans="1:10" x14ac:dyDescent="0.2">
      <c r="A50" s="20"/>
      <c r="B50" s="41"/>
      <c r="C50" s="22"/>
      <c r="D50" s="22"/>
      <c r="E50" s="20"/>
      <c r="F50" s="5"/>
      <c r="G50" s="20"/>
      <c r="H50" s="26"/>
      <c r="I50" s="5"/>
      <c r="J50" s="5"/>
    </row>
    <row r="51" spans="1:10" x14ac:dyDescent="0.2">
      <c r="A51" s="48" t="s">
        <v>28</v>
      </c>
      <c r="B51" s="49">
        <f>SUM(B11+B15+B19+B27+B31+B35+B39+B43+B47+B23)</f>
        <v>12618989.899999999</v>
      </c>
      <c r="C51" s="49">
        <f>SUM(C11+C15+C19+C27+C35+C39+C31+C43+C47+C23)</f>
        <v>4549109.4399999995</v>
      </c>
      <c r="D51" s="49">
        <f>SUM(D11+D15+D19+D27+D31+D35+D39+D43+D47)</f>
        <v>0</v>
      </c>
      <c r="E51" s="49">
        <f>E11+E15+E19+E27+E31+E49+E35+E39+E43+E47+E23</f>
        <v>17116781.210000001</v>
      </c>
      <c r="F51" s="50"/>
      <c r="G51" s="49">
        <f>G11+G15+G19+G27+G31+G49+G35+G23+G39+G43+G47</f>
        <v>-4497791.3100000005</v>
      </c>
      <c r="H51" s="46">
        <f>E51/B51</f>
        <v>1.3564303756198428</v>
      </c>
      <c r="I51" s="5"/>
      <c r="J51" s="5"/>
    </row>
    <row r="52" spans="1:10" x14ac:dyDescent="0.2">
      <c r="A52" s="24" t="s">
        <v>29</v>
      </c>
      <c r="B52" s="41">
        <f>SUM(B12+B16+B20+B28+B32+B36+B40+B44+B48+B24)</f>
        <v>-22433249.489999998</v>
      </c>
      <c r="C52" s="22">
        <f>C12+C16+C20+C28+C32+C50+C36++C24+C40+C44+C48</f>
        <v>-2335619.7399999998</v>
      </c>
      <c r="D52" s="22">
        <f>SUM(D12+D16+D20+D24+D28+D32+D36+D40+D44+D48)</f>
        <v>-192085.08000000002</v>
      </c>
      <c r="E52" s="22">
        <f>E12+E16+E20+E28+E32+E50+E36+E24+E40+E44+E48</f>
        <v>-22891467.899999995</v>
      </c>
      <c r="F52" s="8"/>
      <c r="G52" s="22">
        <f>G12+G16+G20+G28+G32+G50+G36+G24+G40+G44+G48</f>
        <v>458218.41000000021</v>
      </c>
      <c r="H52" s="26">
        <f>E52/B52</f>
        <v>1.0204258598471994</v>
      </c>
      <c r="I52" s="5"/>
      <c r="J52" s="5"/>
    </row>
    <row r="53" spans="1:10" x14ac:dyDescent="0.2">
      <c r="A53" s="2" t="s">
        <v>30</v>
      </c>
      <c r="I53" s="5"/>
      <c r="J53" s="5"/>
    </row>
    <row r="54" spans="1:10" x14ac:dyDescent="0.2">
      <c r="I54" s="5"/>
      <c r="J54" s="5"/>
    </row>
    <row r="55" spans="1:10" ht="15" x14ac:dyDescent="0.2">
      <c r="H55"/>
      <c r="I55" s="5"/>
      <c r="J55" s="5"/>
    </row>
    <row r="56" spans="1:10" ht="15" x14ac:dyDescent="0.3">
      <c r="A56" s="105"/>
      <c r="B56" s="105"/>
      <c r="C56" s="105"/>
      <c r="D56" s="105"/>
      <c r="E56" s="105"/>
      <c r="F56" s="105"/>
      <c r="G56" s="105"/>
      <c r="H56" s="105"/>
    </row>
    <row r="57" spans="1:10" x14ac:dyDescent="0.2">
      <c r="A57" s="2" t="s">
        <v>30</v>
      </c>
    </row>
    <row r="59" spans="1:10" x14ac:dyDescent="0.2">
      <c r="A59" s="96"/>
      <c r="B59" s="39" t="s">
        <v>11</v>
      </c>
      <c r="C59" s="39" t="s">
        <v>67</v>
      </c>
      <c r="F59" s="3"/>
      <c r="G59" s="3"/>
      <c r="H59" s="9"/>
    </row>
    <row r="60" spans="1:10" ht="15.75" x14ac:dyDescent="0.25">
      <c r="A60" s="96" t="s">
        <v>32</v>
      </c>
      <c r="B60" s="39" t="s">
        <v>33</v>
      </c>
      <c r="C60" s="39" t="s">
        <v>33</v>
      </c>
      <c r="E60" s="54" t="s">
        <v>34</v>
      </c>
      <c r="G60" s="54" t="s">
        <v>35</v>
      </c>
      <c r="H60" s="9"/>
    </row>
    <row r="61" spans="1:10" ht="15" x14ac:dyDescent="0.25">
      <c r="A61" s="97" t="s">
        <v>36</v>
      </c>
      <c r="B61" s="52">
        <v>1320708.3999999999</v>
      </c>
      <c r="C61" s="52">
        <v>2270779.9300000002</v>
      </c>
      <c r="D61" s="6"/>
      <c r="E61" s="55" t="s">
        <v>37</v>
      </c>
      <c r="G61" s="90">
        <v>18446.7</v>
      </c>
      <c r="H61" s="11"/>
    </row>
    <row r="62" spans="1:10" ht="15" x14ac:dyDescent="0.25">
      <c r="A62" s="97" t="s">
        <v>38</v>
      </c>
      <c r="B62" s="52">
        <v>644029.44999999995</v>
      </c>
      <c r="C62" s="52">
        <v>136118.21</v>
      </c>
      <c r="D62" s="6"/>
      <c r="E62" s="55" t="s">
        <v>39</v>
      </c>
      <c r="G62" s="90">
        <v>17931.240000000002</v>
      </c>
      <c r="H62" s="11"/>
    </row>
    <row r="63" spans="1:10" ht="15" x14ac:dyDescent="0.25">
      <c r="A63" s="97" t="s">
        <v>40</v>
      </c>
      <c r="B63" s="52">
        <v>5156.54</v>
      </c>
      <c r="C63" s="52">
        <v>44133.55</v>
      </c>
      <c r="D63" s="8"/>
      <c r="E63" s="55" t="s">
        <v>41</v>
      </c>
      <c r="G63" s="90">
        <v>343795.82</v>
      </c>
      <c r="H63" s="11"/>
    </row>
    <row r="64" spans="1:10" ht="1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G64" s="90">
        <v>123731.43</v>
      </c>
      <c r="H64" s="11"/>
    </row>
    <row r="65" spans="1:8" ht="15" x14ac:dyDescent="0.25">
      <c r="A65" s="97" t="s">
        <v>44</v>
      </c>
      <c r="B65" s="52">
        <v>9041.4500000000007</v>
      </c>
      <c r="C65" s="52">
        <v>9606.67</v>
      </c>
      <c r="D65" s="8"/>
      <c r="E65" s="55" t="s">
        <v>45</v>
      </c>
      <c r="G65" s="90">
        <v>16632.71</v>
      </c>
    </row>
    <row r="66" spans="1:8" ht="15" x14ac:dyDescent="0.25">
      <c r="A66" s="98" t="s">
        <v>46</v>
      </c>
      <c r="B66" s="52"/>
      <c r="C66" s="52"/>
      <c r="D66" s="8"/>
      <c r="E66" s="55" t="s">
        <v>47</v>
      </c>
      <c r="G66" s="90">
        <v>58646.82</v>
      </c>
      <c r="H66" s="11"/>
    </row>
    <row r="67" spans="1:8" ht="15" x14ac:dyDescent="0.25">
      <c r="A67" s="97" t="s">
        <v>48</v>
      </c>
      <c r="B67" s="52">
        <v>10814.57</v>
      </c>
      <c r="C67" s="52">
        <v>10121.629999999999</v>
      </c>
      <c r="D67" s="8"/>
      <c r="E67" s="55" t="s">
        <v>51</v>
      </c>
      <c r="G67" s="90">
        <v>79.599999999999994</v>
      </c>
      <c r="H67" s="11"/>
    </row>
    <row r="68" spans="1:8" ht="15" x14ac:dyDescent="0.25">
      <c r="A68" s="98" t="s">
        <v>70</v>
      </c>
      <c r="B68" s="52">
        <v>0</v>
      </c>
      <c r="C68" s="52">
        <v>0</v>
      </c>
      <c r="D68" s="8"/>
      <c r="E68" s="55" t="s">
        <v>83</v>
      </c>
      <c r="G68" s="68">
        <v>6712</v>
      </c>
    </row>
    <row r="69" spans="1:8" x14ac:dyDescent="0.2">
      <c r="A69" s="98" t="s">
        <v>71</v>
      </c>
      <c r="B69" s="52">
        <v>0</v>
      </c>
      <c r="C69" s="52">
        <v>0</v>
      </c>
      <c r="D69" s="8"/>
      <c r="E69" s="93" t="s">
        <v>65</v>
      </c>
      <c r="G69" s="56">
        <v>750</v>
      </c>
      <c r="H69" s="11"/>
    </row>
    <row r="70" spans="1:8" ht="15" x14ac:dyDescent="0.25">
      <c r="A70" s="98" t="s">
        <v>78</v>
      </c>
      <c r="B70" s="52"/>
      <c r="C70" s="52"/>
      <c r="D70" s="8"/>
      <c r="E70" s="55"/>
      <c r="G70" s="68"/>
    </row>
    <row r="71" spans="1:8" ht="15" x14ac:dyDescent="0.25">
      <c r="A71" s="98"/>
      <c r="B71" s="52"/>
      <c r="C71" s="52"/>
      <c r="D71" s="8"/>
      <c r="E71" s="55"/>
      <c r="G71" s="68"/>
    </row>
    <row r="72" spans="1:8" ht="16.5" thickBot="1" x14ac:dyDescent="0.3">
      <c r="A72" s="98"/>
      <c r="B72" s="52"/>
      <c r="C72" s="52"/>
      <c r="E72"/>
      <c r="G72" s="57">
        <f>SUM(G61:G71)</f>
        <v>586726.31999999995</v>
      </c>
    </row>
    <row r="73" spans="1:8" ht="13.5" thickTop="1" x14ac:dyDescent="0.2">
      <c r="A73" s="98"/>
      <c r="B73" s="52"/>
      <c r="C73" s="52"/>
    </row>
    <row r="74" spans="1:8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9" t="s">
        <v>55</v>
      </c>
      <c r="B78" s="64">
        <f>SUM(B61-B62-B63+B64-B65-B66-B67+B68+B69-B70)</f>
        <v>656766.39</v>
      </c>
      <c r="C78" s="64">
        <f>SUM(C61-C62-C63+C64-C65-C66-C67+C68+C69-C70)</f>
        <v>2075899.8700000003</v>
      </c>
    </row>
    <row r="79" spans="1:8" x14ac:dyDescent="0.2">
      <c r="A79" s="38" t="s">
        <v>56</v>
      </c>
      <c r="B79" s="52"/>
      <c r="C79" s="52"/>
    </row>
    <row r="80" spans="1:8" x14ac:dyDescent="0.2">
      <c r="A80" s="40" t="s">
        <v>57</v>
      </c>
      <c r="B80" s="101">
        <v>1616.86</v>
      </c>
      <c r="C80" s="101">
        <v>96763.95</v>
      </c>
    </row>
    <row r="81" spans="1:3" x14ac:dyDescent="0.2">
      <c r="A81" s="40" t="s">
        <v>58</v>
      </c>
      <c r="B81" s="101">
        <v>3162159.93</v>
      </c>
      <c r="C81" s="101">
        <v>1675985.98</v>
      </c>
    </row>
    <row r="82" spans="1:3" x14ac:dyDescent="0.2">
      <c r="A82" s="40" t="s">
        <v>59</v>
      </c>
      <c r="B82" s="101">
        <v>4166744.93</v>
      </c>
      <c r="C82" s="101">
        <v>4693526.59</v>
      </c>
    </row>
    <row r="83" spans="1:3" ht="15" x14ac:dyDescent="0.35">
      <c r="A83" s="42" t="s">
        <v>60</v>
      </c>
      <c r="B83" s="65">
        <f>SUM(B80:B82)</f>
        <v>7330521.7200000007</v>
      </c>
      <c r="C83" s="65">
        <f>SUM(C80:C82)</f>
        <v>6466276.5199999996</v>
      </c>
    </row>
    <row r="84" spans="1:3" x14ac:dyDescent="0.2">
      <c r="A84" s="87"/>
      <c r="B84" s="12"/>
      <c r="C84" s="12"/>
    </row>
  </sheetData>
  <mergeCells count="3">
    <mergeCell ref="A2:H2"/>
    <mergeCell ref="A3:H3"/>
    <mergeCell ref="A56:H56"/>
  </mergeCells>
  <pageMargins left="0.5" right="0.5" top="0.5" bottom="0.5" header="0.5" footer="0.5"/>
  <pageSetup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zoomScaleNormal="100" workbookViewId="0">
      <selection activeCell="G52" sqref="G52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7.88671875" style="1" bestFit="1" customWidth="1"/>
    <col min="6" max="6" width="1.6640625" style="1" customWidth="1"/>
    <col min="7" max="7" width="17" style="1" customWidth="1"/>
    <col min="8" max="8" width="14.21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2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2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"/>
      <c r="J2" s="5"/>
    </row>
    <row r="3" spans="1:12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"/>
      <c r="J3" s="5"/>
    </row>
    <row r="4" spans="1:12" x14ac:dyDescent="0.2">
      <c r="A4" s="102"/>
      <c r="B4" s="5"/>
      <c r="C4" s="5"/>
      <c r="D4" s="5"/>
      <c r="E4" s="5"/>
      <c r="F4" s="5"/>
      <c r="G4" s="16" t="s">
        <v>3</v>
      </c>
      <c r="H4" s="34">
        <v>42552</v>
      </c>
      <c r="I4" s="5"/>
      <c r="J4" s="5"/>
    </row>
    <row r="5" spans="1:12" x14ac:dyDescent="0.2">
      <c r="A5" s="17" t="s">
        <v>4</v>
      </c>
      <c r="B5" s="5"/>
      <c r="C5" s="5"/>
      <c r="D5" s="5"/>
      <c r="E5" s="5"/>
      <c r="F5" s="5"/>
      <c r="G5" s="5"/>
      <c r="H5" s="14"/>
      <c r="I5" s="5"/>
      <c r="J5" s="5"/>
    </row>
    <row r="6" spans="1:12" x14ac:dyDescent="0.2">
      <c r="A6" s="5"/>
      <c r="B6" s="5"/>
      <c r="C6" s="5"/>
      <c r="D6" s="5"/>
      <c r="E6" s="5"/>
      <c r="F6" s="5"/>
      <c r="G6" s="5"/>
      <c r="H6" s="14"/>
      <c r="I6" s="5"/>
      <c r="J6" s="5"/>
    </row>
    <row r="7" spans="1:12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  <c r="I7" s="5"/>
      <c r="J7" s="5"/>
    </row>
    <row r="8" spans="1:12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  <c r="I8" s="5"/>
      <c r="J8" s="5"/>
    </row>
    <row r="9" spans="1:12" x14ac:dyDescent="0.2">
      <c r="A9" s="20"/>
      <c r="B9" s="20"/>
      <c r="C9" s="20"/>
      <c r="D9" s="20"/>
      <c r="E9" s="20"/>
      <c r="F9" s="5"/>
      <c r="G9" s="20"/>
      <c r="H9" s="26"/>
      <c r="I9" s="5"/>
      <c r="J9" s="5"/>
    </row>
    <row r="10" spans="1:12" x14ac:dyDescent="0.2">
      <c r="A10" s="20" t="s">
        <v>16</v>
      </c>
      <c r="B10" s="21"/>
      <c r="C10" s="21"/>
      <c r="D10" s="21"/>
      <c r="E10" s="21"/>
      <c r="F10" s="7"/>
      <c r="G10" s="21"/>
      <c r="H10" s="26"/>
      <c r="I10" s="5"/>
      <c r="J10" s="5"/>
    </row>
    <row r="11" spans="1:12" x14ac:dyDescent="0.2">
      <c r="A11" s="43" t="s">
        <v>17</v>
      </c>
      <c r="B11" s="44">
        <v>9616737.3200000003</v>
      </c>
      <c r="C11" s="44">
        <v>-755139.32</v>
      </c>
      <c r="D11" s="44">
        <v>0</v>
      </c>
      <c r="E11" s="44">
        <f>SUM(C11+D11)</f>
        <v>-755139.32</v>
      </c>
      <c r="F11" s="45"/>
      <c r="G11" s="44">
        <f>B11-E11</f>
        <v>10371876.640000001</v>
      </c>
      <c r="H11" s="46">
        <f>E11/B11</f>
        <v>-7.8523442501598859E-2</v>
      </c>
      <c r="I11" s="5"/>
      <c r="J11" s="5"/>
    </row>
    <row r="12" spans="1:12" x14ac:dyDescent="0.2">
      <c r="A12" s="20" t="s">
        <v>18</v>
      </c>
      <c r="B12" s="51">
        <v>-9853661.5399999991</v>
      </c>
      <c r="C12" s="21">
        <v>-465831.92</v>
      </c>
      <c r="D12" s="21">
        <v>-33770.53</v>
      </c>
      <c r="E12" s="21">
        <f>SUM(C12+D12)</f>
        <v>-499602.44999999995</v>
      </c>
      <c r="F12" s="7"/>
      <c r="G12" s="21">
        <f>B12-E12</f>
        <v>-9354059.0899999999</v>
      </c>
      <c r="H12" s="26">
        <f>E12/B12</f>
        <v>5.0702213382498626E-2</v>
      </c>
      <c r="I12" s="5"/>
      <c r="J12" s="5"/>
    </row>
    <row r="13" spans="1:12" x14ac:dyDescent="0.2">
      <c r="A13" s="20"/>
      <c r="B13" s="40"/>
      <c r="C13" s="21"/>
      <c r="D13" s="21"/>
      <c r="E13" s="21"/>
      <c r="F13" s="7"/>
      <c r="G13" s="21"/>
      <c r="H13" s="26"/>
      <c r="I13" s="5"/>
      <c r="J13" s="5"/>
    </row>
    <row r="14" spans="1:12" x14ac:dyDescent="0.2">
      <c r="A14" s="20" t="s">
        <v>19</v>
      </c>
      <c r="B14" s="51"/>
      <c r="C14" s="21"/>
      <c r="D14" s="21"/>
      <c r="E14" s="21"/>
      <c r="F14" s="7"/>
      <c r="G14" s="21"/>
      <c r="H14" s="27"/>
      <c r="I14" s="5"/>
      <c r="J14" s="5"/>
    </row>
    <row r="15" spans="1:12" x14ac:dyDescent="0.2">
      <c r="A15" s="43" t="s">
        <v>17</v>
      </c>
      <c r="B15" s="44">
        <v>415476</v>
      </c>
      <c r="C15" s="44">
        <v>0</v>
      </c>
      <c r="D15" s="44">
        <v>0</v>
      </c>
      <c r="E15" s="44">
        <f>SUM(C15+D15)</f>
        <v>0</v>
      </c>
      <c r="F15" s="45"/>
      <c r="G15" s="44">
        <f>B15-E15</f>
        <v>415476</v>
      </c>
      <c r="H15" s="46">
        <f>E15/B15</f>
        <v>0</v>
      </c>
      <c r="I15" s="5"/>
      <c r="J15" s="5"/>
    </row>
    <row r="16" spans="1:12" x14ac:dyDescent="0.2">
      <c r="A16" s="20" t="s">
        <v>18</v>
      </c>
      <c r="B16" s="51">
        <v>-501545</v>
      </c>
      <c r="C16" s="21">
        <v>-2908.24</v>
      </c>
      <c r="D16" s="21">
        <v>0</v>
      </c>
      <c r="E16" s="21">
        <f>SUM(C16+D16)</f>
        <v>-2908.24</v>
      </c>
      <c r="F16" s="7"/>
      <c r="G16" s="21">
        <f>B16-E16</f>
        <v>-498636.76</v>
      </c>
      <c r="H16" s="26">
        <f>E16/B16</f>
        <v>5.7985624420540524E-3</v>
      </c>
      <c r="I16" s="5"/>
      <c r="J16" s="5"/>
      <c r="L16" s="33"/>
    </row>
    <row r="17" spans="1:10" x14ac:dyDescent="0.2">
      <c r="A17" s="20"/>
      <c r="B17" s="51"/>
      <c r="C17" s="21"/>
      <c r="D17" s="21"/>
      <c r="E17" s="21"/>
      <c r="F17" s="7"/>
      <c r="G17" s="21"/>
      <c r="H17" s="26"/>
      <c r="I17" s="5"/>
      <c r="J17" s="5"/>
    </row>
    <row r="18" spans="1:10" x14ac:dyDescent="0.2">
      <c r="A18" s="20" t="s">
        <v>20</v>
      </c>
      <c r="B18" s="51"/>
      <c r="C18" s="21"/>
      <c r="D18" s="21"/>
      <c r="E18" s="21"/>
      <c r="F18" s="7"/>
      <c r="G18" s="21"/>
      <c r="H18" s="26"/>
      <c r="I18" s="5"/>
      <c r="J18" s="5"/>
    </row>
    <row r="19" spans="1:10" x14ac:dyDescent="0.2">
      <c r="A19" s="43" t="s">
        <v>17</v>
      </c>
      <c r="B19" s="44">
        <v>264320</v>
      </c>
      <c r="C19" s="44">
        <v>1846.38</v>
      </c>
      <c r="D19" s="44">
        <v>0</v>
      </c>
      <c r="E19" s="44">
        <f>SUM(C19+D19)</f>
        <v>1846.38</v>
      </c>
      <c r="F19" s="45"/>
      <c r="G19" s="44">
        <f>B19-E19</f>
        <v>262473.62</v>
      </c>
      <c r="H19" s="46">
        <f>E19/B19</f>
        <v>6.9853964891041162E-3</v>
      </c>
      <c r="I19" s="5"/>
      <c r="J19" s="5"/>
    </row>
    <row r="20" spans="1:10" x14ac:dyDescent="0.2">
      <c r="A20" s="20" t="s">
        <v>18</v>
      </c>
      <c r="B20" s="51">
        <v>-267956.5</v>
      </c>
      <c r="C20" s="21">
        <v>-24950.05</v>
      </c>
      <c r="D20" s="21">
        <v>0</v>
      </c>
      <c r="E20" s="21">
        <f>SUM(C20+D20)</f>
        <v>-24950.05</v>
      </c>
      <c r="F20" s="7"/>
      <c r="G20" s="21">
        <f>B20-E20</f>
        <v>-243006.45</v>
      </c>
      <c r="H20" s="26">
        <f>E20/B20</f>
        <v>9.3112314872003471E-2</v>
      </c>
      <c r="I20" s="5"/>
      <c r="J20" s="5"/>
    </row>
    <row r="21" spans="1:10" x14ac:dyDescent="0.2">
      <c r="A21" s="20"/>
      <c r="B21" s="51"/>
      <c r="C21" s="21"/>
      <c r="D21" s="21"/>
      <c r="E21" s="21"/>
      <c r="F21" s="7"/>
      <c r="G21" s="21"/>
      <c r="H21" s="26"/>
      <c r="I21" s="5"/>
      <c r="J21" s="5"/>
    </row>
    <row r="22" spans="1:10" x14ac:dyDescent="0.2">
      <c r="A22" s="20" t="s">
        <v>21</v>
      </c>
      <c r="B22" s="51"/>
      <c r="C22" s="21"/>
      <c r="D22" s="21"/>
      <c r="E22" s="21"/>
      <c r="F22" s="7"/>
      <c r="G22" s="21"/>
      <c r="H22" s="26"/>
      <c r="I22" s="5"/>
      <c r="J22" s="5"/>
    </row>
    <row r="23" spans="1:10" x14ac:dyDescent="0.2">
      <c r="A23" s="43" t="s">
        <v>17</v>
      </c>
      <c r="B23" s="44">
        <v>0</v>
      </c>
      <c r="C23" s="44">
        <v>742</v>
      </c>
      <c r="D23" s="44">
        <v>0</v>
      </c>
      <c r="E23" s="44">
        <f>SUM(C23+D23)</f>
        <v>742</v>
      </c>
      <c r="F23" s="45"/>
      <c r="G23" s="44">
        <f>SUM(B23-E23)</f>
        <v>-742</v>
      </c>
      <c r="H23" s="46" t="e">
        <f>SUM(E23/B23)</f>
        <v>#DIV/0!</v>
      </c>
      <c r="I23" s="5"/>
      <c r="J23" s="5"/>
    </row>
    <row r="24" spans="1:10" x14ac:dyDescent="0.2">
      <c r="A24" s="20" t="s">
        <v>18</v>
      </c>
      <c r="B24" s="51">
        <v>-4394052</v>
      </c>
      <c r="C24" s="21">
        <v>-45132.79</v>
      </c>
      <c r="D24" s="21">
        <v>0</v>
      </c>
      <c r="E24" s="21">
        <f>SUM(C24+D24)</f>
        <v>-45132.79</v>
      </c>
      <c r="F24" s="7"/>
      <c r="G24" s="21">
        <f>SUM(B24-E24)</f>
        <v>-4348919.21</v>
      </c>
      <c r="H24" s="26">
        <f>SUM(E24/B24)</f>
        <v>1.0271337253177705E-2</v>
      </c>
      <c r="I24" s="5"/>
      <c r="J24" s="5"/>
    </row>
    <row r="25" spans="1:10" x14ac:dyDescent="0.2">
      <c r="A25" s="20"/>
      <c r="B25" s="51"/>
      <c r="C25" s="21"/>
      <c r="D25" s="21"/>
      <c r="E25" s="21"/>
      <c r="F25" s="7"/>
      <c r="G25" s="21"/>
      <c r="H25" s="26"/>
      <c r="I25" s="5"/>
      <c r="J25" s="5"/>
    </row>
    <row r="26" spans="1:10" x14ac:dyDescent="0.2">
      <c r="A26" s="20" t="s">
        <v>22</v>
      </c>
      <c r="B26" s="41"/>
      <c r="C26" s="22"/>
      <c r="D26" s="22"/>
      <c r="E26" s="21"/>
      <c r="F26" s="8"/>
      <c r="G26" s="21"/>
      <c r="H26" s="26"/>
      <c r="I26" s="5"/>
      <c r="J26" s="5"/>
    </row>
    <row r="27" spans="1:10" x14ac:dyDescent="0.2">
      <c r="A27" s="43" t="s">
        <v>17</v>
      </c>
      <c r="B27" s="49">
        <v>2087032</v>
      </c>
      <c r="C27" s="49">
        <v>24190.639999999999</v>
      </c>
      <c r="D27" s="49">
        <v>0</v>
      </c>
      <c r="E27" s="44">
        <f>SUM(C27+D27)</f>
        <v>24190.639999999999</v>
      </c>
      <c r="F27" s="50"/>
      <c r="G27" s="44">
        <f>B27-E27</f>
        <v>2062841.36</v>
      </c>
      <c r="H27" s="46">
        <f>E27/B27</f>
        <v>1.1590929128063202E-2</v>
      </c>
      <c r="I27" s="5"/>
      <c r="J27" s="5"/>
    </row>
    <row r="28" spans="1:10" x14ac:dyDescent="0.2">
      <c r="A28" s="20" t="s">
        <v>18</v>
      </c>
      <c r="B28" s="41">
        <v>-1943087</v>
      </c>
      <c r="C28" s="22">
        <v>-459894.99</v>
      </c>
      <c r="D28" s="22">
        <v>0</v>
      </c>
      <c r="E28" s="21">
        <f>SUM(C28+D28)</f>
        <v>-459894.99</v>
      </c>
      <c r="F28" s="8"/>
      <c r="G28" s="21">
        <f>B28-E28</f>
        <v>-1483192.01</v>
      </c>
      <c r="H28" s="26">
        <f>E28/B28</f>
        <v>0.23668265497118759</v>
      </c>
      <c r="I28" s="5"/>
      <c r="J28" s="5"/>
    </row>
    <row r="29" spans="1:10" x14ac:dyDescent="0.2">
      <c r="A29" s="20"/>
      <c r="B29" s="41"/>
      <c r="C29" s="22"/>
      <c r="D29" s="22"/>
      <c r="E29" s="21"/>
      <c r="F29" s="8"/>
      <c r="G29" s="21"/>
      <c r="H29" s="26"/>
      <c r="I29" s="5"/>
      <c r="J29" s="5"/>
    </row>
    <row r="30" spans="1:10" x14ac:dyDescent="0.2">
      <c r="A30" s="20" t="s">
        <v>23</v>
      </c>
      <c r="B30" s="41"/>
      <c r="C30" s="22"/>
      <c r="D30" s="22"/>
      <c r="E30" s="21"/>
      <c r="F30" s="8"/>
      <c r="G30" s="21"/>
      <c r="H30" s="26"/>
      <c r="I30" s="5"/>
      <c r="J30" s="5"/>
    </row>
    <row r="31" spans="1:10" x14ac:dyDescent="0.2">
      <c r="A31" s="43" t="s">
        <v>17</v>
      </c>
      <c r="B31" s="49">
        <v>10800</v>
      </c>
      <c r="C31" s="49">
        <v>20</v>
      </c>
      <c r="D31" s="49">
        <v>0</v>
      </c>
      <c r="E31" s="44">
        <f>SUM(C31+D31)</f>
        <v>20</v>
      </c>
      <c r="F31" s="50"/>
      <c r="G31" s="44">
        <f>B31-E31</f>
        <v>10780</v>
      </c>
      <c r="H31" s="46">
        <f>E31/B31</f>
        <v>1.8518518518518519E-3</v>
      </c>
      <c r="I31" s="5"/>
      <c r="J31" s="5"/>
    </row>
    <row r="32" spans="1:10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SUM(C32+D32)</f>
        <v>0</v>
      </c>
      <c r="F32" s="8"/>
      <c r="G32" s="21">
        <f>B32-E32</f>
        <v>-10800</v>
      </c>
      <c r="H32" s="26">
        <f>E32/B32</f>
        <v>0</v>
      </c>
      <c r="I32" s="5"/>
      <c r="J32" s="5"/>
    </row>
    <row r="33" spans="1:10" x14ac:dyDescent="0.2">
      <c r="A33" s="20"/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20" t="s">
        <v>24</v>
      </c>
      <c r="B34" s="41"/>
      <c r="C34" s="22"/>
      <c r="D34" s="22"/>
      <c r="E34" s="21"/>
      <c r="F34" s="8"/>
      <c r="G34" s="21"/>
      <c r="H34" s="26"/>
      <c r="I34" s="5"/>
      <c r="J34" s="5"/>
    </row>
    <row r="35" spans="1:10" x14ac:dyDescent="0.2">
      <c r="A35" s="43" t="s">
        <v>17</v>
      </c>
      <c r="B35" s="49">
        <v>10833</v>
      </c>
      <c r="C35" s="49">
        <v>0.01</v>
      </c>
      <c r="D35" s="49">
        <v>0</v>
      </c>
      <c r="E35" s="44">
        <f>SUM(C35+D35)</f>
        <v>0.01</v>
      </c>
      <c r="F35" s="50"/>
      <c r="G35" s="44">
        <f>B35-E35</f>
        <v>10832.99</v>
      </c>
      <c r="H35" s="46">
        <f>E35/B35</f>
        <v>9.2310532631773291E-7</v>
      </c>
      <c r="I35" s="5"/>
      <c r="J35" s="5"/>
    </row>
    <row r="36" spans="1:10" x14ac:dyDescent="0.2">
      <c r="A36" s="20" t="s">
        <v>18</v>
      </c>
      <c r="B36" s="41">
        <v>-11374</v>
      </c>
      <c r="C36" s="22">
        <v>0</v>
      </c>
      <c r="D36" s="22">
        <v>0</v>
      </c>
      <c r="E36" s="21">
        <f>SUM(C36+D36)</f>
        <v>0</v>
      </c>
      <c r="F36" s="8"/>
      <c r="G36" s="21">
        <f>B36-E36</f>
        <v>-11374</v>
      </c>
      <c r="H36" s="26">
        <f>E36/B36</f>
        <v>0</v>
      </c>
      <c r="I36" s="5"/>
      <c r="J36" s="5"/>
    </row>
    <row r="37" spans="1:10" x14ac:dyDescent="0.2">
      <c r="A37" s="20"/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20" t="s">
        <v>25</v>
      </c>
      <c r="B38" s="41"/>
      <c r="C38" s="22"/>
      <c r="D38" s="22"/>
      <c r="E38" s="21"/>
      <c r="F38" s="8"/>
      <c r="G38" s="21"/>
      <c r="H38" s="26"/>
      <c r="I38" s="5"/>
      <c r="J38" s="5"/>
    </row>
    <row r="39" spans="1:10" x14ac:dyDescent="0.2">
      <c r="A39" s="43" t="s">
        <v>17</v>
      </c>
      <c r="B39" s="49">
        <v>95805.37</v>
      </c>
      <c r="C39" s="49">
        <v>2018.13</v>
      </c>
      <c r="D39" s="49">
        <v>0</v>
      </c>
      <c r="E39" s="44">
        <f>SUM(C39+D39)</f>
        <v>2018.13</v>
      </c>
      <c r="F39" s="50"/>
      <c r="G39" s="44">
        <f>B39-E39</f>
        <v>93787.239999999991</v>
      </c>
      <c r="H39" s="46">
        <f>E39/B39</f>
        <v>2.1064894379093785E-2</v>
      </c>
      <c r="I39" s="5"/>
      <c r="J39" s="5"/>
    </row>
    <row r="40" spans="1:10" x14ac:dyDescent="0.2">
      <c r="A40" s="20" t="s">
        <v>18</v>
      </c>
      <c r="B40" s="41">
        <v>-95805.37</v>
      </c>
      <c r="C40" s="22">
        <v>-5259.23</v>
      </c>
      <c r="D40" s="22">
        <v>0</v>
      </c>
      <c r="E40" s="21">
        <f>SUM(C40+D40)</f>
        <v>-5259.23</v>
      </c>
      <c r="F40" s="8"/>
      <c r="G40" s="21">
        <f>B40-E40</f>
        <v>-90546.14</v>
      </c>
      <c r="H40" s="26">
        <f>E40/B40</f>
        <v>5.4894939605159919E-2</v>
      </c>
      <c r="I40" s="5"/>
      <c r="J40" s="5"/>
    </row>
    <row r="41" spans="1:10" x14ac:dyDescent="0.2">
      <c r="A41" s="20"/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20" t="s">
        <v>26</v>
      </c>
      <c r="B42" s="41"/>
      <c r="C42" s="22"/>
      <c r="D42" s="22"/>
      <c r="E42" s="21"/>
      <c r="F42" s="8"/>
      <c r="G42" s="21"/>
      <c r="H42" s="26"/>
      <c r="I42" s="5"/>
      <c r="J42" s="5"/>
    </row>
    <row r="43" spans="1:10" x14ac:dyDescent="0.2">
      <c r="A43" s="43" t="s">
        <v>17</v>
      </c>
      <c r="B43" s="49">
        <v>6700</v>
      </c>
      <c r="C43" s="49">
        <v>22.11</v>
      </c>
      <c r="D43" s="49">
        <v>0</v>
      </c>
      <c r="E43" s="44">
        <f>SUM(C43+D43)</f>
        <v>22.11</v>
      </c>
      <c r="F43" s="50"/>
      <c r="G43" s="44">
        <f>B43-E43</f>
        <v>6677.89</v>
      </c>
      <c r="H43" s="46">
        <f>E43/B43</f>
        <v>3.3E-3</v>
      </c>
      <c r="I43" s="5"/>
      <c r="J43" s="5"/>
    </row>
    <row r="44" spans="1:10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SUM(C44+D44)</f>
        <v>0</v>
      </c>
      <c r="F44" s="8"/>
      <c r="G44" s="21">
        <f>B44-E44</f>
        <v>-57095</v>
      </c>
      <c r="H44" s="26">
        <f>E44/B44</f>
        <v>0</v>
      </c>
      <c r="I44" s="5"/>
      <c r="J44" s="5"/>
    </row>
    <row r="45" spans="1:10" x14ac:dyDescent="0.2">
      <c r="A45" s="20"/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20" t="s">
        <v>27</v>
      </c>
      <c r="B46" s="41"/>
      <c r="C46" s="22"/>
      <c r="D46" s="22"/>
      <c r="E46" s="21"/>
      <c r="F46" s="8"/>
      <c r="G46" s="21"/>
      <c r="H46" s="26"/>
      <c r="I46" s="5"/>
      <c r="J46" s="5"/>
    </row>
    <row r="47" spans="1:10" x14ac:dyDescent="0.2">
      <c r="A47" s="43" t="s">
        <v>17</v>
      </c>
      <c r="B47" s="49">
        <v>135970</v>
      </c>
      <c r="C47" s="49">
        <v>-3746.48</v>
      </c>
      <c r="D47" s="49">
        <v>0</v>
      </c>
      <c r="E47" s="44">
        <f>SUM(C47+D47)</f>
        <v>-3746.48</v>
      </c>
      <c r="F47" s="50"/>
      <c r="G47" s="44">
        <f>B47-E47</f>
        <v>139716.48000000001</v>
      </c>
      <c r="H47" s="46">
        <f>E47/B47</f>
        <v>-2.7553725086416122E-2</v>
      </c>
      <c r="I47" s="5"/>
      <c r="J47" s="5"/>
    </row>
    <row r="48" spans="1:10" x14ac:dyDescent="0.2">
      <c r="A48" s="20" t="s">
        <v>18</v>
      </c>
      <c r="B48" s="41">
        <v>-133487</v>
      </c>
      <c r="C48" s="22">
        <v>-12143.75</v>
      </c>
      <c r="D48" s="22">
        <v>0</v>
      </c>
      <c r="E48" s="21">
        <f>SUM(C48+D48)</f>
        <v>-12143.75</v>
      </c>
      <c r="F48" s="8"/>
      <c r="G48" s="21">
        <f>B48-E48</f>
        <v>-121343.25</v>
      </c>
      <c r="H48" s="26">
        <f>E48/B48</f>
        <v>9.097327829676298E-2</v>
      </c>
      <c r="I48" s="5"/>
      <c r="J48" s="5"/>
    </row>
    <row r="49" spans="1:10" x14ac:dyDescent="0.2">
      <c r="A49" s="20"/>
      <c r="B49" s="41"/>
      <c r="C49" s="22"/>
      <c r="D49" s="22"/>
      <c r="E49" s="21"/>
      <c r="F49" s="8"/>
      <c r="G49" s="21"/>
      <c r="H49" s="26"/>
      <c r="I49" s="5"/>
      <c r="J49" s="5"/>
    </row>
    <row r="50" spans="1:10" x14ac:dyDescent="0.2">
      <c r="A50" s="20"/>
      <c r="B50" s="41"/>
      <c r="C50" s="22"/>
      <c r="D50" s="22"/>
      <c r="E50" s="20"/>
      <c r="F50" s="5"/>
      <c r="G50" s="20"/>
      <c r="H50" s="26"/>
      <c r="I50" s="5"/>
      <c r="J50" s="5"/>
    </row>
    <row r="51" spans="1:10" x14ac:dyDescent="0.2">
      <c r="A51" s="48" t="s">
        <v>28</v>
      </c>
      <c r="B51" s="49">
        <f>SUM(B11+B15+B19+B27+B31+B35+B39+B43+B47+B23)</f>
        <v>12643673.689999999</v>
      </c>
      <c r="C51" s="49">
        <f>SUM(C11+C15+C19+C27+C35+C39+C31+C43+C47+C23)</f>
        <v>-730046.52999999991</v>
      </c>
      <c r="D51" s="49">
        <f>SUM(D11+D15+D19+D27+D31+D35+D39+D43+D47)</f>
        <v>0</v>
      </c>
      <c r="E51" s="49">
        <f>E11+E15+E19+E27+E31+E49+E35+E39+E43+E47+E23</f>
        <v>-730046.52999999991</v>
      </c>
      <c r="F51" s="50"/>
      <c r="G51" s="49">
        <f>G11+G15+G19+G27+G31+G49+G35+G23+G39+G43+G47</f>
        <v>13373720.220000001</v>
      </c>
      <c r="H51" s="46">
        <f>E51/B51</f>
        <v>-5.7740064153775229E-2</v>
      </c>
      <c r="I51" s="5"/>
      <c r="J51" s="5"/>
    </row>
    <row r="52" spans="1:10" x14ac:dyDescent="0.2">
      <c r="A52" s="24" t="s">
        <v>29</v>
      </c>
      <c r="B52" s="41">
        <f>SUM(B12+B16+B20+B28+B32+B36+B40+B44+B48+B24)</f>
        <v>-17268863.409999996</v>
      </c>
      <c r="C52" s="22">
        <f>C12+C16+C20+C28+C32+C50+C36++C24+C40+C44+C48</f>
        <v>-1016120.97</v>
      </c>
      <c r="D52" s="22">
        <f>SUM(D48+D44+D40+D36+D32+D28+D24+D20+D16+D12)</f>
        <v>-33770.53</v>
      </c>
      <c r="E52" s="22">
        <f>E12+E16+E20+E28+E32+E50+E36+E24+E40+E44+E48</f>
        <v>-1049891.5</v>
      </c>
      <c r="F52" s="8"/>
      <c r="G52" s="22">
        <f>G12+G16+G20+G28+G32+G50+G36+G24+G40+G44+G48</f>
        <v>-16218971.91</v>
      </c>
      <c r="H52" s="26">
        <f>E52/B52</f>
        <v>6.0796792184483452E-2</v>
      </c>
      <c r="I52" s="5"/>
      <c r="J52" s="5"/>
    </row>
    <row r="53" spans="1:10" x14ac:dyDescent="0.2">
      <c r="A53" s="2" t="s">
        <v>30</v>
      </c>
      <c r="I53" s="5"/>
      <c r="J53" s="5"/>
    </row>
    <row r="54" spans="1:10" x14ac:dyDescent="0.2">
      <c r="I54" s="5"/>
      <c r="J54" s="5"/>
    </row>
    <row r="55" spans="1:10" ht="15" x14ac:dyDescent="0.2">
      <c r="H55"/>
      <c r="I55" s="5"/>
      <c r="J55" s="5"/>
    </row>
    <row r="56" spans="1:10" ht="15" x14ac:dyDescent="0.3">
      <c r="A56" s="105"/>
      <c r="B56" s="105"/>
      <c r="C56" s="105"/>
      <c r="D56" s="105"/>
      <c r="E56" s="105"/>
      <c r="F56" s="105"/>
      <c r="G56" s="105"/>
      <c r="H56" s="105"/>
    </row>
    <row r="57" spans="1:10" x14ac:dyDescent="0.2">
      <c r="A57" s="2" t="s">
        <v>30</v>
      </c>
    </row>
    <row r="59" spans="1:10" x14ac:dyDescent="0.2">
      <c r="A59" s="96"/>
      <c r="B59" s="39" t="s">
        <v>11</v>
      </c>
      <c r="C59" s="39" t="s">
        <v>67</v>
      </c>
      <c r="F59" s="3"/>
      <c r="G59" s="3"/>
      <c r="H59" s="9"/>
    </row>
    <row r="60" spans="1:10" ht="15.75" x14ac:dyDescent="0.25">
      <c r="A60" s="96" t="s">
        <v>32</v>
      </c>
      <c r="B60" s="39" t="s">
        <v>33</v>
      </c>
      <c r="C60" s="39" t="s">
        <v>33</v>
      </c>
      <c r="E60" s="54" t="s">
        <v>34</v>
      </c>
      <c r="G60" s="54" t="s">
        <v>35</v>
      </c>
      <c r="H60" s="9"/>
    </row>
    <row r="61" spans="1:10" ht="15" x14ac:dyDescent="0.25">
      <c r="A61" s="97" t="s">
        <v>36</v>
      </c>
      <c r="B61" s="52">
        <v>348374.39</v>
      </c>
      <c r="C61" s="52">
        <v>1320708.3999999999</v>
      </c>
      <c r="D61" s="6"/>
      <c r="E61" s="55" t="s">
        <v>37</v>
      </c>
      <c r="G61" s="90">
        <v>17310.8</v>
      </c>
      <c r="H61" s="11"/>
    </row>
    <row r="62" spans="1:10" ht="15" x14ac:dyDescent="0.25">
      <c r="A62" s="97" t="s">
        <v>38</v>
      </c>
      <c r="B62" s="52">
        <v>21431.14</v>
      </c>
      <c r="C62" s="52">
        <v>644029.44999999995</v>
      </c>
      <c r="D62" s="6"/>
      <c r="E62" s="55" t="s">
        <v>39</v>
      </c>
      <c r="G62" s="90">
        <v>18945.39</v>
      </c>
      <c r="H62" s="11"/>
    </row>
    <row r="63" spans="1:10" ht="15" x14ac:dyDescent="0.25">
      <c r="A63" s="97" t="s">
        <v>40</v>
      </c>
      <c r="B63" s="52">
        <v>1748.18</v>
      </c>
      <c r="C63" s="52">
        <v>5156.54</v>
      </c>
      <c r="D63" s="8"/>
      <c r="E63" s="55" t="s">
        <v>41</v>
      </c>
      <c r="G63" s="90">
        <v>322774.57</v>
      </c>
      <c r="H63" s="11"/>
    </row>
    <row r="64" spans="1:10" ht="1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G64" s="90">
        <v>108516.46</v>
      </c>
      <c r="H64" s="11"/>
    </row>
    <row r="65" spans="1:8" ht="15" x14ac:dyDescent="0.25">
      <c r="A65" s="97" t="s">
        <v>44</v>
      </c>
      <c r="B65" s="52">
        <v>7875.03</v>
      </c>
      <c r="C65" s="52">
        <v>9041.4500000000007</v>
      </c>
      <c r="D65" s="8"/>
      <c r="E65" s="55" t="s">
        <v>45</v>
      </c>
      <c r="G65" s="90">
        <v>15590.22</v>
      </c>
    </row>
    <row r="66" spans="1:8" ht="15" x14ac:dyDescent="0.25">
      <c r="A66" s="98" t="s">
        <v>46</v>
      </c>
      <c r="B66" s="52">
        <v>3356</v>
      </c>
      <c r="C66" s="52"/>
      <c r="D66" s="8"/>
      <c r="E66" s="55" t="s">
        <v>47</v>
      </c>
      <c r="G66" s="90">
        <v>53445.5</v>
      </c>
      <c r="H66" s="11"/>
    </row>
    <row r="67" spans="1:8" ht="15" x14ac:dyDescent="0.25">
      <c r="A67" s="97" t="s">
        <v>48</v>
      </c>
      <c r="B67" s="52">
        <v>8169.35</v>
      </c>
      <c r="C67" s="52">
        <v>10814.57</v>
      </c>
      <c r="D67" s="8"/>
      <c r="E67" s="55" t="s">
        <v>51</v>
      </c>
      <c r="G67" s="90">
        <v>80.400000000000006</v>
      </c>
      <c r="H67" s="11"/>
    </row>
    <row r="68" spans="1:8" ht="15" x14ac:dyDescent="0.25">
      <c r="A68" s="98" t="s">
        <v>70</v>
      </c>
      <c r="B68" s="52">
        <v>0</v>
      </c>
      <c r="C68" s="52">
        <v>0</v>
      </c>
      <c r="D68" s="8"/>
      <c r="E68" s="55" t="s">
        <v>83</v>
      </c>
      <c r="G68" s="68">
        <v>3356</v>
      </c>
    </row>
    <row r="69" spans="1:8" x14ac:dyDescent="0.2">
      <c r="A69" s="98" t="s">
        <v>71</v>
      </c>
      <c r="B69" s="52">
        <v>0</v>
      </c>
      <c r="C69" s="52">
        <v>0</v>
      </c>
      <c r="D69" s="8"/>
      <c r="E69" s="93" t="s">
        <v>84</v>
      </c>
      <c r="G69" s="56">
        <v>475238.74</v>
      </c>
      <c r="H69" s="11"/>
    </row>
    <row r="70" spans="1:8" ht="15" x14ac:dyDescent="0.25">
      <c r="A70" s="98" t="s">
        <v>78</v>
      </c>
      <c r="B70" s="52"/>
      <c r="C70" s="52"/>
      <c r="D70" s="8"/>
      <c r="E70" s="55"/>
      <c r="G70" s="68"/>
    </row>
    <row r="71" spans="1:8" ht="15" x14ac:dyDescent="0.25">
      <c r="A71" s="98"/>
      <c r="B71" s="52"/>
      <c r="C71" s="52"/>
      <c r="D71" s="8"/>
      <c r="E71" s="55"/>
      <c r="G71" s="68"/>
    </row>
    <row r="72" spans="1:8" ht="16.5" thickBot="1" x14ac:dyDescent="0.3">
      <c r="A72" s="98"/>
      <c r="B72" s="52"/>
      <c r="C72" s="52"/>
      <c r="E72"/>
      <c r="G72" s="57">
        <f>SUM(G61:G71)</f>
        <v>1015258.08</v>
      </c>
    </row>
    <row r="73" spans="1:8" ht="13.5" thickTop="1" x14ac:dyDescent="0.2">
      <c r="A73" s="98"/>
      <c r="B73" s="52"/>
      <c r="C73" s="52"/>
    </row>
    <row r="74" spans="1:8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9" t="s">
        <v>55</v>
      </c>
      <c r="B78" s="64">
        <f>SUM(B61-B62-B63+B64-B65-B66-B67+B68+B69-B70)</f>
        <v>310894.69</v>
      </c>
      <c r="C78" s="64">
        <f>SUM(C61-C62-C63+C64-C65-C66-C67+C68+C69-C70)</f>
        <v>656766.39</v>
      </c>
    </row>
    <row r="79" spans="1:8" x14ac:dyDescent="0.2">
      <c r="A79" s="38" t="s">
        <v>56</v>
      </c>
      <c r="B79" s="52"/>
      <c r="C79" s="52"/>
    </row>
    <row r="80" spans="1:8" x14ac:dyDescent="0.2">
      <c r="A80" s="40" t="s">
        <v>57</v>
      </c>
      <c r="B80" s="101">
        <v>118427.31</v>
      </c>
      <c r="C80" s="101">
        <v>1616.86</v>
      </c>
    </row>
    <row r="81" spans="1:3" x14ac:dyDescent="0.2">
      <c r="A81" s="40" t="s">
        <v>58</v>
      </c>
      <c r="B81" s="101">
        <v>2177750.98</v>
      </c>
      <c r="C81" s="101">
        <v>3162159.93</v>
      </c>
    </row>
    <row r="82" spans="1:3" x14ac:dyDescent="0.2">
      <c r="A82" s="40" t="s">
        <v>59</v>
      </c>
      <c r="B82" s="101">
        <v>2299187.19</v>
      </c>
      <c r="C82" s="101">
        <v>4166744.93</v>
      </c>
    </row>
    <row r="83" spans="1:3" ht="15" x14ac:dyDescent="0.35">
      <c r="A83" s="42" t="s">
        <v>60</v>
      </c>
      <c r="B83" s="65">
        <f>SUM(B80:B82)</f>
        <v>4595365.4800000004</v>
      </c>
      <c r="C83" s="65">
        <f>SUM(C80:C82)</f>
        <v>7330521.7200000007</v>
      </c>
    </row>
    <row r="84" spans="1:3" x14ac:dyDescent="0.2">
      <c r="A84" s="87"/>
      <c r="B84" s="12"/>
      <c r="C84" s="12"/>
    </row>
  </sheetData>
  <mergeCells count="3">
    <mergeCell ref="A2:H2"/>
    <mergeCell ref="A3:H3"/>
    <mergeCell ref="A56:H56"/>
  </mergeCells>
  <pageMargins left="0.5" right="0.5" top="0.5" bottom="0.5" header="0.5" footer="0.5"/>
  <pageSetup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55" workbookViewId="0">
      <selection activeCell="C20" sqref="C20"/>
    </sheetView>
  </sheetViews>
  <sheetFormatPr defaultRowHeight="15" x14ac:dyDescent="0.2"/>
  <cols>
    <col min="1" max="1" width="24.77734375" bestFit="1" customWidth="1"/>
    <col min="2" max="2" width="11.5546875" bestFit="1" customWidth="1"/>
    <col min="3" max="3" width="10.77734375" bestFit="1" customWidth="1"/>
    <col min="4" max="4" width="9.44140625" bestFit="1" customWidth="1"/>
    <col min="5" max="5" width="17.88671875" bestFit="1" customWidth="1"/>
    <col min="7" max="7" width="11.5546875" bestFit="1" customWidth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6.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6.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42583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2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9616737.3200000003</v>
      </c>
      <c r="C11" s="44">
        <v>1346098.06</v>
      </c>
      <c r="D11" s="44">
        <v>0</v>
      </c>
      <c r="E11" s="44">
        <f>SUM(C11+D11+'July 2016'!C11)</f>
        <v>590958.74000000011</v>
      </c>
      <c r="F11" s="45"/>
      <c r="G11" s="44">
        <f>B11-E11</f>
        <v>9025778.5800000001</v>
      </c>
      <c r="H11" s="46">
        <f>E11/B11</f>
        <v>6.1451063945666774E-2</v>
      </c>
    </row>
    <row r="12" spans="1:8" x14ac:dyDescent="0.2">
      <c r="A12" s="20" t="s">
        <v>18</v>
      </c>
      <c r="B12" s="51">
        <v>-9853661.5399999991</v>
      </c>
      <c r="C12" s="21">
        <v>-211019.86</v>
      </c>
      <c r="D12" s="21">
        <v>-4186.54</v>
      </c>
      <c r="E12" s="21">
        <f>SUM(C12+D12+'July 2016'!E12-'July 2016'!D12)</f>
        <v>-681038.32</v>
      </c>
      <c r="F12" s="7"/>
      <c r="G12" s="21">
        <f>B12-E12</f>
        <v>-9172623.2199999988</v>
      </c>
      <c r="H12" s="26">
        <f>E12/B12</f>
        <v>6.911525398303868E-2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6370.92</v>
      </c>
      <c r="D15" s="44">
        <v>0</v>
      </c>
      <c r="E15" s="44">
        <f>SUM(C15+D15)</f>
        <v>6370.92</v>
      </c>
      <c r="F15" s="45"/>
      <c r="G15" s="44">
        <f>B15-E15</f>
        <v>409105.08</v>
      </c>
      <c r="H15" s="46">
        <f>E15/B15</f>
        <v>1.5334026514166883E-2</v>
      </c>
    </row>
    <row r="16" spans="1:8" x14ac:dyDescent="0.2">
      <c r="A16" s="20" t="s">
        <v>18</v>
      </c>
      <c r="B16" s="51">
        <v>-501545</v>
      </c>
      <c r="C16" s="21">
        <v>-5597.72</v>
      </c>
      <c r="D16" s="21">
        <v>0</v>
      </c>
      <c r="E16" s="21">
        <f>SUM(C16+D16+'July 2016'!E16)</f>
        <v>-8505.9599999999991</v>
      </c>
      <c r="F16" s="7"/>
      <c r="G16" s="21">
        <f>B16-E16</f>
        <v>-493039.04</v>
      </c>
      <c r="H16" s="26">
        <f>E16/B16</f>
        <v>1.695951509834611E-2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264320</v>
      </c>
      <c r="C19" s="44">
        <v>14531.47</v>
      </c>
      <c r="D19" s="44">
        <v>0</v>
      </c>
      <c r="E19" s="44">
        <f>SUM(C19+D19+'July 2016'!E19)</f>
        <v>16377.849999999999</v>
      </c>
      <c r="F19" s="45"/>
      <c r="G19" s="44">
        <f>B19-E19</f>
        <v>247942.15</v>
      </c>
      <c r="H19" s="46">
        <f>E19/B19</f>
        <v>6.1962204903147695E-2</v>
      </c>
    </row>
    <row r="20" spans="1:8" x14ac:dyDescent="0.2">
      <c r="A20" s="20" t="s">
        <v>18</v>
      </c>
      <c r="B20" s="51">
        <v>-267956.5</v>
      </c>
      <c r="C20" s="21">
        <v>-73571.259999999995</v>
      </c>
      <c r="D20" s="21">
        <v>0</v>
      </c>
      <c r="E20" s="21">
        <f>SUM(C20+D20+'July 2016'!E20)</f>
        <v>-98521.31</v>
      </c>
      <c r="F20" s="7"/>
      <c r="G20" s="21">
        <f>B20-E20</f>
        <v>-169435.19</v>
      </c>
      <c r="H20" s="26">
        <f>E20/B20</f>
        <v>0.36767650719426476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9609.25</v>
      </c>
      <c r="D23" s="44">
        <v>0</v>
      </c>
      <c r="E23" s="44">
        <f>SUM(C23+D23+'July 2016'!E23)</f>
        <v>10351.25</v>
      </c>
      <c r="F23" s="45"/>
      <c r="G23" s="44">
        <f>SUM(B23-E23)</f>
        <v>-10351.25</v>
      </c>
      <c r="H23" s="46" t="e">
        <f>SUM(E23/B23)</f>
        <v>#DIV/0!</v>
      </c>
    </row>
    <row r="24" spans="1:8" x14ac:dyDescent="0.2">
      <c r="A24" s="20" t="s">
        <v>18</v>
      </c>
      <c r="B24" s="51">
        <v>-4394052</v>
      </c>
      <c r="C24" s="21">
        <v>-196355.57</v>
      </c>
      <c r="D24" s="21">
        <v>0</v>
      </c>
      <c r="E24" s="21">
        <f>SUM(C24+D24+'July 2016'!E24)</f>
        <v>-241488.36000000002</v>
      </c>
      <c r="F24" s="7"/>
      <c r="G24" s="21">
        <f>SUM(B24-E24)</f>
        <v>-4152563.64</v>
      </c>
      <c r="H24" s="26">
        <f>SUM(E24/B24)</f>
        <v>5.4958011420893522E-2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2087032</v>
      </c>
      <c r="C27" s="49">
        <v>5106.22</v>
      </c>
      <c r="D27" s="49">
        <v>0</v>
      </c>
      <c r="E27" s="44">
        <f>SUM(C27+D27+'July 2016'!E27)</f>
        <v>29296.86</v>
      </c>
      <c r="F27" s="50"/>
      <c r="G27" s="44">
        <f>B27-E27</f>
        <v>2057735.14</v>
      </c>
      <c r="H27" s="46">
        <f>E27/B27</f>
        <v>1.4037571057846742E-2</v>
      </c>
    </row>
    <row r="28" spans="1:8" x14ac:dyDescent="0.2">
      <c r="A28" s="20" t="s">
        <v>18</v>
      </c>
      <c r="B28" s="41">
        <v>-1943087</v>
      </c>
      <c r="C28" s="22">
        <v>0</v>
      </c>
      <c r="D28" s="22">
        <v>0</v>
      </c>
      <c r="E28" s="21">
        <f>SUM(D28+C28+'July 2016'!E28)</f>
        <v>-459894.99</v>
      </c>
      <c r="F28" s="8"/>
      <c r="G28" s="21">
        <f>B28-E28</f>
        <v>-1483192.01</v>
      </c>
      <c r="H28" s="26">
        <f>E28/B28</f>
        <v>0.23668265497118759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165</v>
      </c>
      <c r="D31" s="49">
        <v>0</v>
      </c>
      <c r="E31" s="44">
        <f>SUM(C31+D31+'July 2016'!E31)</f>
        <v>185</v>
      </c>
      <c r="F31" s="50"/>
      <c r="G31" s="44">
        <f>B31-E31</f>
        <v>10615</v>
      </c>
      <c r="H31" s="46">
        <f>E31/B31</f>
        <v>1.712962962962963E-2</v>
      </c>
    </row>
    <row r="32" spans="1:8" x14ac:dyDescent="0.2">
      <c r="A32" s="20" t="s">
        <v>18</v>
      </c>
      <c r="B32" s="41">
        <v>-10800</v>
      </c>
      <c r="C32" s="22">
        <v>-200</v>
      </c>
      <c r="D32" s="22">
        <v>0</v>
      </c>
      <c r="E32" s="21">
        <f>SUM(C32+D32+'July 2016'!E36)</f>
        <v>-200</v>
      </c>
      <c r="F32" s="8"/>
      <c r="G32" s="21">
        <f>B32-E32</f>
        <v>-10600</v>
      </c>
      <c r="H32" s="26">
        <f>E32/B32</f>
        <v>1.8518518518518517E-2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10833</v>
      </c>
      <c r="C35" s="49">
        <v>0</v>
      </c>
      <c r="D35" s="49">
        <v>0</v>
      </c>
      <c r="E35" s="44">
        <f>SUM(C35+D35+'July 2016'!E35)</f>
        <v>0.01</v>
      </c>
      <c r="F35" s="50"/>
      <c r="G35" s="44">
        <f>B35-E35</f>
        <v>10832.99</v>
      </c>
      <c r="H35" s="46">
        <f>E35/B35</f>
        <v>9.2310532631773291E-7</v>
      </c>
    </row>
    <row r="36" spans="1:8" x14ac:dyDescent="0.2">
      <c r="A36" s="20" t="s">
        <v>18</v>
      </c>
      <c r="B36" s="41">
        <v>-11374</v>
      </c>
      <c r="C36" s="22">
        <v>0</v>
      </c>
      <c r="D36" s="22">
        <v>0</v>
      </c>
      <c r="E36" s="21">
        <f>SUM(C36+D36)</f>
        <v>0</v>
      </c>
      <c r="F36" s="8"/>
      <c r="G36" s="21">
        <f>B36-E36</f>
        <v>-11374</v>
      </c>
      <c r="H36" s="26">
        <f>E36/B36</f>
        <v>0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-44.32</v>
      </c>
      <c r="D39" s="49">
        <v>0</v>
      </c>
      <c r="E39" s="44">
        <f>SUM(C39+D39+'July 2016'!E39)</f>
        <v>1973.8100000000002</v>
      </c>
      <c r="F39" s="50"/>
      <c r="G39" s="44">
        <f>B39-E39</f>
        <v>93831.56</v>
      </c>
      <c r="H39" s="46">
        <f>E39/B39</f>
        <v>2.0602289829891585E-2</v>
      </c>
    </row>
    <row r="40" spans="1:8" x14ac:dyDescent="0.2">
      <c r="A40" s="20" t="s">
        <v>18</v>
      </c>
      <c r="B40" s="41">
        <v>-95805.37</v>
      </c>
      <c r="C40" s="22">
        <v>-6904.21</v>
      </c>
      <c r="D40" s="22">
        <v>0</v>
      </c>
      <c r="E40" s="21">
        <f>SUM(C40+D40+'July 2016'!E40)</f>
        <v>-12163.439999999999</v>
      </c>
      <c r="F40" s="8"/>
      <c r="G40" s="21">
        <f>B40-E40</f>
        <v>-83641.929999999993</v>
      </c>
      <c r="H40" s="26">
        <f>E40/B40</f>
        <v>0.12695989796814103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-20.83</v>
      </c>
      <c r="D43" s="49">
        <v>0</v>
      </c>
      <c r="E43" s="44">
        <f>SUM(C43+D43+'July 2016'!E43)</f>
        <v>1.2800000000000011</v>
      </c>
      <c r="F43" s="50"/>
      <c r="G43" s="44">
        <f>B43-E43</f>
        <v>6698.72</v>
      </c>
      <c r="H43" s="46">
        <f>E43/B43</f>
        <v>1.9104477611940314E-4</v>
      </c>
    </row>
    <row r="44" spans="1:8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SUM(C44+D44)</f>
        <v>0</v>
      </c>
      <c r="F44" s="8"/>
      <c r="G44" s="21">
        <f>B44-E44</f>
        <v>-57095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135970</v>
      </c>
      <c r="C47" s="49">
        <v>200.12</v>
      </c>
      <c r="D47" s="49">
        <v>0</v>
      </c>
      <c r="E47" s="44">
        <f>SUM(C47+D47+'July 2016'!E47)</f>
        <v>-3546.36</v>
      </c>
      <c r="F47" s="50"/>
      <c r="G47" s="44">
        <f>B47-E47</f>
        <v>139516.35999999999</v>
      </c>
      <c r="H47" s="46">
        <f>E47/B47</f>
        <v>-2.6081929837464147E-2</v>
      </c>
    </row>
    <row r="48" spans="1:8" x14ac:dyDescent="0.2">
      <c r="A48" s="20" t="s">
        <v>18</v>
      </c>
      <c r="B48" s="41">
        <v>-133487</v>
      </c>
      <c r="C48" s="22">
        <v>-12143.75</v>
      </c>
      <c r="D48" s="22">
        <v>0</v>
      </c>
      <c r="E48" s="21">
        <f>SUM(C48+D48)</f>
        <v>-12143.75</v>
      </c>
      <c r="F48" s="8"/>
      <c r="G48" s="21">
        <f>B48-E48</f>
        <v>-121343.25</v>
      </c>
      <c r="H48" s="26">
        <f>E48/B48</f>
        <v>9.097327829676298E-2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SUM(B11+B15+B19+B27+B31+B35+B39+B43+B47+B23)</f>
        <v>12643673.689999999</v>
      </c>
      <c r="C51" s="49">
        <f>SUM(C11+C15+C19+C27+C35+C39+C31+C43+C47+C23)</f>
        <v>1382015.89</v>
      </c>
      <c r="D51" s="49">
        <f>SUM(D11+D15+D19+D27+D31+D35+D39+D43+D47)</f>
        <v>0</v>
      </c>
      <c r="E51" s="49">
        <f>E11+E15+E19+E27+E31+E49+E35+E39+E43+E47+E23</f>
        <v>651969.36000000022</v>
      </c>
      <c r="F51" s="50"/>
      <c r="G51" s="49">
        <f>G11+G15+G19+G27+G31+G49+G35+G23+G39+G43+G47</f>
        <v>11991704.330000002</v>
      </c>
      <c r="H51" s="46">
        <f>E51/B51</f>
        <v>5.1564867615624163E-2</v>
      </c>
    </row>
    <row r="52" spans="1:8" x14ac:dyDescent="0.2">
      <c r="A52" s="24" t="s">
        <v>29</v>
      </c>
      <c r="B52" s="41">
        <f>SUM(B12+B16+B20+B28+B32+B36+B40+B44+B48+B24)</f>
        <v>-17268863.409999996</v>
      </c>
      <c r="C52" s="22">
        <f>C12+C16+C20+C28+C32+C50+C36++C24+C40+C44+C48</f>
        <v>-505792.37</v>
      </c>
      <c r="D52" s="22">
        <f>SUM(D48+D44+D40+D36+D32+D28+D24+D20+D16+D12)</f>
        <v>-4186.54</v>
      </c>
      <c r="E52" s="22">
        <f>E12+E16+E20+E28+E32+E50+E36+E24+E40+E44+E48</f>
        <v>-1513956.13</v>
      </c>
      <c r="F52" s="8"/>
      <c r="G52" s="22">
        <f>G12+G16+G20+G28+G32+G50+G36+G24+G40+G44+G48</f>
        <v>-15754907.279999997</v>
      </c>
      <c r="H52" s="26">
        <f>E52/B52</f>
        <v>8.7669703214127176E-2</v>
      </c>
    </row>
    <row r="53" spans="1:8" x14ac:dyDescent="0.2">
      <c r="A53" s="2" t="s">
        <v>30</v>
      </c>
      <c r="B53" s="1"/>
      <c r="C53" s="1"/>
      <c r="D53" s="1"/>
      <c r="E53" s="1"/>
      <c r="F53" s="1"/>
      <c r="G53" s="1"/>
      <c r="H53" s="10"/>
    </row>
    <row r="54" spans="1:8" x14ac:dyDescent="0.2">
      <c r="A54" s="1"/>
      <c r="B54" s="1"/>
      <c r="C54" s="1"/>
      <c r="D54" s="1"/>
      <c r="E54" s="1"/>
      <c r="F54" s="1"/>
      <c r="G54" s="1"/>
      <c r="H54" s="10"/>
    </row>
    <row r="55" spans="1:8" x14ac:dyDescent="0.2">
      <c r="A55" s="1"/>
      <c r="B55" s="1"/>
      <c r="C55" s="1"/>
      <c r="D55" s="1"/>
      <c r="E55" s="1"/>
      <c r="F55" s="1"/>
      <c r="G55" s="1"/>
    </row>
    <row r="56" spans="1:8" ht="16.5" x14ac:dyDescent="0.3">
      <c r="A56" s="105"/>
      <c r="B56" s="105"/>
      <c r="C56" s="105"/>
      <c r="D56" s="105"/>
      <c r="E56" s="105"/>
      <c r="F56" s="105"/>
      <c r="G56" s="105"/>
      <c r="H56" s="105"/>
    </row>
    <row r="57" spans="1:8" x14ac:dyDescent="0.2">
      <c r="A57" s="2" t="s">
        <v>30</v>
      </c>
      <c r="B57" s="1"/>
      <c r="C57" s="1"/>
      <c r="D57" s="1"/>
      <c r="E57" s="1"/>
      <c r="F57" s="1"/>
      <c r="G57" s="1"/>
      <c r="H57" s="10"/>
    </row>
    <row r="58" spans="1:8" x14ac:dyDescent="0.2">
      <c r="A58" s="1"/>
      <c r="B58" s="1"/>
      <c r="C58" s="1"/>
      <c r="D58" s="1"/>
      <c r="E58" s="1"/>
      <c r="F58" s="1"/>
      <c r="G58" s="1"/>
      <c r="H58" s="10"/>
    </row>
    <row r="59" spans="1:8" x14ac:dyDescent="0.2">
      <c r="A59" s="96"/>
      <c r="B59" s="39" t="s">
        <v>11</v>
      </c>
      <c r="C59" s="39" t="s">
        <v>67</v>
      </c>
      <c r="D59" s="1"/>
      <c r="E59" s="1"/>
      <c r="F59" s="3"/>
      <c r="G59" s="3"/>
      <c r="H59" s="9"/>
    </row>
    <row r="60" spans="1:8" ht="15.75" x14ac:dyDescent="0.25">
      <c r="A60" s="96" t="s">
        <v>32</v>
      </c>
      <c r="B60" s="39" t="s">
        <v>33</v>
      </c>
      <c r="C60" s="39" t="s">
        <v>33</v>
      </c>
      <c r="D60" s="1"/>
      <c r="E60" s="54" t="s">
        <v>34</v>
      </c>
      <c r="F60" s="1"/>
      <c r="G60" s="54" t="s">
        <v>35</v>
      </c>
      <c r="H60" s="9"/>
    </row>
    <row r="61" spans="1:8" ht="15.75" x14ac:dyDescent="0.25">
      <c r="A61" s="97" t="s">
        <v>36</v>
      </c>
      <c r="B61" s="52">
        <v>354705.02</v>
      </c>
      <c r="C61" s="52">
        <v>348374.39</v>
      </c>
      <c r="D61" s="6"/>
      <c r="E61" s="55" t="s">
        <v>37</v>
      </c>
      <c r="F61" s="1"/>
      <c r="G61" s="90">
        <v>16338.7</v>
      </c>
      <c r="H61" s="11"/>
    </row>
    <row r="62" spans="1:8" ht="15.75" x14ac:dyDescent="0.25">
      <c r="A62" s="97" t="s">
        <v>38</v>
      </c>
      <c r="B62" s="52">
        <v>35117.5</v>
      </c>
      <c r="C62" s="52">
        <v>21431.14</v>
      </c>
      <c r="D62" s="6"/>
      <c r="E62" s="55" t="s">
        <v>39</v>
      </c>
      <c r="F62" s="1"/>
      <c r="G62" s="90">
        <v>15632.59</v>
      </c>
      <c r="H62" s="11"/>
    </row>
    <row r="63" spans="1:8" ht="15.75" x14ac:dyDescent="0.25">
      <c r="A63" s="97" t="s">
        <v>40</v>
      </c>
      <c r="B63" s="52">
        <v>2571.2399999999998</v>
      </c>
      <c r="C63" s="52">
        <v>1748.18</v>
      </c>
      <c r="D63" s="8"/>
      <c r="E63" s="55" t="s">
        <v>41</v>
      </c>
      <c r="F63" s="1"/>
      <c r="G63" s="90">
        <v>309688.09999999998</v>
      </c>
      <c r="H63" s="11"/>
    </row>
    <row r="64" spans="1:8" ht="15.7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F64" s="1"/>
      <c r="G64" s="90">
        <v>105696.59</v>
      </c>
      <c r="H64" s="11"/>
    </row>
    <row r="65" spans="1:8" ht="15.75" x14ac:dyDescent="0.25">
      <c r="A65" s="97" t="s">
        <v>44</v>
      </c>
      <c r="B65" s="52">
        <v>8068.23</v>
      </c>
      <c r="C65" s="52">
        <v>7875.03</v>
      </c>
      <c r="D65" s="8"/>
      <c r="E65" s="55" t="s">
        <v>45</v>
      </c>
      <c r="F65" s="1"/>
      <c r="G65" s="90">
        <v>15792.55</v>
      </c>
      <c r="H65" s="10"/>
    </row>
    <row r="66" spans="1:8" ht="15.75" x14ac:dyDescent="0.25">
      <c r="A66" s="98" t="s">
        <v>46</v>
      </c>
      <c r="B66" s="52">
        <v>0</v>
      </c>
      <c r="C66" s="52">
        <v>3356</v>
      </c>
      <c r="D66" s="8"/>
      <c r="E66" s="55" t="s">
        <v>47</v>
      </c>
      <c r="F66" s="1"/>
      <c r="G66" s="90">
        <v>52556.46</v>
      </c>
      <c r="H66" s="11"/>
    </row>
    <row r="67" spans="1:8" ht="15.75" x14ac:dyDescent="0.25">
      <c r="A67" s="97" t="s">
        <v>48</v>
      </c>
      <c r="B67" s="52">
        <v>8099.33</v>
      </c>
      <c r="C67" s="52">
        <v>8169.35</v>
      </c>
      <c r="D67" s="8"/>
      <c r="E67" s="55" t="s">
        <v>51</v>
      </c>
      <c r="F67" s="1"/>
      <c r="G67" s="90">
        <v>130.80000000000001</v>
      </c>
      <c r="H67" s="11"/>
    </row>
    <row r="68" spans="1:8" ht="15.75" x14ac:dyDescent="0.25">
      <c r="A68" s="98" t="s">
        <v>85</v>
      </c>
      <c r="B68" s="52">
        <v>249.2</v>
      </c>
      <c r="C68" s="52">
        <v>0</v>
      </c>
      <c r="D68" s="8"/>
      <c r="E68" s="55" t="s">
        <v>83</v>
      </c>
      <c r="F68" s="1"/>
      <c r="G68" s="68">
        <v>10068</v>
      </c>
      <c r="H68" s="10"/>
    </row>
    <row r="69" spans="1:8" x14ac:dyDescent="0.2">
      <c r="A69" s="98" t="s">
        <v>86</v>
      </c>
      <c r="B69" s="52">
        <v>0.1</v>
      </c>
      <c r="C69" s="52">
        <v>0</v>
      </c>
      <c r="D69" s="8"/>
      <c r="E69" s="93" t="s">
        <v>65</v>
      </c>
      <c r="F69" s="1"/>
      <c r="G69" s="56">
        <v>750</v>
      </c>
      <c r="H69" s="11"/>
    </row>
    <row r="70" spans="1:8" ht="15.75" x14ac:dyDescent="0.25">
      <c r="A70" s="98" t="s">
        <v>87</v>
      </c>
      <c r="B70" s="52">
        <v>8460</v>
      </c>
      <c r="C70" s="52"/>
      <c r="D70" s="8"/>
      <c r="E70" s="55"/>
      <c r="F70" s="1"/>
      <c r="G70" s="68"/>
      <c r="H70" s="10"/>
    </row>
    <row r="71" spans="1:8" ht="15.75" x14ac:dyDescent="0.25">
      <c r="A71" s="98"/>
      <c r="B71" s="52"/>
      <c r="C71" s="52"/>
      <c r="D71" s="8"/>
      <c r="E71" s="55"/>
      <c r="F71" s="1"/>
      <c r="G71" s="68"/>
      <c r="H71" s="10"/>
    </row>
    <row r="72" spans="1:8" ht="16.5" thickBot="1" x14ac:dyDescent="0.3">
      <c r="A72" s="98"/>
      <c r="B72" s="52"/>
      <c r="C72" s="52"/>
      <c r="D72" s="1"/>
      <c r="F72" s="1"/>
      <c r="G72" s="57">
        <f>SUM(G61:G71)</f>
        <v>526653.79</v>
      </c>
      <c r="H72" s="10"/>
    </row>
    <row r="73" spans="1:8" ht="15.75" thickTop="1" x14ac:dyDescent="0.2">
      <c r="A73" s="98"/>
      <c r="B73" s="52"/>
      <c r="C73" s="52"/>
      <c r="D73" s="1"/>
      <c r="E73" s="1"/>
      <c r="F73" s="1"/>
      <c r="G73" s="1"/>
      <c r="H73" s="10"/>
    </row>
    <row r="74" spans="1:8" x14ac:dyDescent="0.2">
      <c r="A74" s="98"/>
      <c r="B74" s="52"/>
      <c r="C74" s="52"/>
      <c r="D74" s="1"/>
      <c r="E74" s="1"/>
      <c r="F74" s="1"/>
      <c r="G74" s="1"/>
      <c r="H74" s="10"/>
    </row>
    <row r="75" spans="1:8" x14ac:dyDescent="0.2">
      <c r="A75" s="98"/>
      <c r="B75" s="52"/>
      <c r="C75" s="52"/>
      <c r="D75" s="1"/>
      <c r="E75" s="1"/>
      <c r="F75" s="1"/>
      <c r="G75" s="1"/>
      <c r="H75" s="10"/>
    </row>
    <row r="76" spans="1:8" x14ac:dyDescent="0.2">
      <c r="A76" s="98"/>
      <c r="B76" s="52"/>
      <c r="C76" s="52"/>
      <c r="D76" s="1"/>
      <c r="E76" s="1"/>
      <c r="F76" s="1"/>
      <c r="G76" s="1"/>
      <c r="H76" s="10"/>
    </row>
    <row r="77" spans="1:8" x14ac:dyDescent="0.2">
      <c r="A77" s="98"/>
      <c r="B77" s="52"/>
      <c r="C77" s="52"/>
      <c r="D77" s="1"/>
      <c r="E77" s="1"/>
      <c r="F77" s="1"/>
      <c r="G77" s="1"/>
      <c r="H77" s="10"/>
    </row>
    <row r="78" spans="1:8" x14ac:dyDescent="0.2">
      <c r="A78" s="99" t="s">
        <v>55</v>
      </c>
      <c r="B78" s="64">
        <f>SUM(B61-B62-B63+B64-B65-B66-B67-B68-B69-B70)</f>
        <v>297239.42000000004</v>
      </c>
      <c r="C78" s="64">
        <f>SUM(C61-C62-C63+C64-C65-C66-C67+C68+C69-C70)</f>
        <v>310894.69</v>
      </c>
      <c r="D78" s="1"/>
      <c r="E78" s="1"/>
      <c r="F78" s="1"/>
      <c r="G78" s="1"/>
      <c r="H78" s="10"/>
    </row>
    <row r="79" spans="1:8" x14ac:dyDescent="0.2">
      <c r="A79" s="38" t="s">
        <v>56</v>
      </c>
      <c r="B79" s="52"/>
      <c r="C79" s="52"/>
      <c r="D79" s="1"/>
      <c r="E79" s="1"/>
      <c r="F79" s="1"/>
      <c r="G79" s="1"/>
      <c r="H79" s="10"/>
    </row>
    <row r="80" spans="1:8" x14ac:dyDescent="0.2">
      <c r="A80" s="40" t="s">
        <v>57</v>
      </c>
      <c r="B80" s="101">
        <v>50801.06</v>
      </c>
      <c r="C80" s="101">
        <v>118427.31</v>
      </c>
      <c r="D80" s="1"/>
      <c r="E80" s="1"/>
      <c r="F80" s="1"/>
      <c r="G80" s="1"/>
      <c r="H80" s="10"/>
    </row>
    <row r="81" spans="1:8" x14ac:dyDescent="0.2">
      <c r="A81" s="40" t="s">
        <v>58</v>
      </c>
      <c r="B81" s="101">
        <v>2536909.31</v>
      </c>
      <c r="C81" s="101">
        <v>2177750.98</v>
      </c>
      <c r="D81" s="1"/>
      <c r="E81" s="1"/>
      <c r="F81" s="1"/>
      <c r="G81" s="1"/>
      <c r="H81" s="10"/>
    </row>
    <row r="82" spans="1:8" x14ac:dyDescent="0.2">
      <c r="A82" s="40" t="s">
        <v>59</v>
      </c>
      <c r="B82" s="101">
        <v>3307854.74</v>
      </c>
      <c r="C82" s="101">
        <v>2299187.19</v>
      </c>
      <c r="D82" s="1"/>
      <c r="E82" s="1"/>
      <c r="F82" s="1"/>
      <c r="G82" s="1"/>
      <c r="H82" s="10"/>
    </row>
    <row r="83" spans="1:8" ht="17.25" x14ac:dyDescent="0.35">
      <c r="A83" s="42" t="s">
        <v>60</v>
      </c>
      <c r="B83" s="65">
        <f>SUM(B80:B82)</f>
        <v>5895565.1100000003</v>
      </c>
      <c r="C83" s="65">
        <f>SUM(C80:C82)</f>
        <v>4595365.4800000004</v>
      </c>
      <c r="D83" s="1"/>
      <c r="E83" s="1"/>
      <c r="F83" s="1"/>
      <c r="G83" s="1"/>
      <c r="H83" s="10"/>
    </row>
    <row r="84" spans="1:8" x14ac:dyDescent="0.2">
      <c r="A84" s="87"/>
      <c r="B84" s="12"/>
      <c r="C84" s="12"/>
      <c r="D84" s="1"/>
      <c r="E84" s="1"/>
      <c r="F84" s="1"/>
      <c r="G84" s="1"/>
      <c r="H84" s="10"/>
    </row>
  </sheetData>
  <mergeCells count="3">
    <mergeCell ref="A2:H2"/>
    <mergeCell ref="A3:H3"/>
    <mergeCell ref="A56:H5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18" workbookViewId="0">
      <selection activeCell="C16" sqref="C16"/>
    </sheetView>
  </sheetViews>
  <sheetFormatPr defaultRowHeight="15" x14ac:dyDescent="0.2"/>
  <cols>
    <col min="1" max="1" width="24.77734375" bestFit="1" customWidth="1"/>
    <col min="2" max="2" width="11.5546875" bestFit="1" customWidth="1"/>
    <col min="3" max="3" width="10.77734375" bestFit="1" customWidth="1"/>
    <col min="4" max="4" width="9.44140625" bestFit="1" customWidth="1"/>
    <col min="5" max="5" width="17.88671875" bestFit="1" customWidth="1"/>
    <col min="7" max="7" width="11.5546875" bestFit="1" customWidth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6.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6.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42614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2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9946808.0199999996</v>
      </c>
      <c r="C11" s="44">
        <v>908759.89</v>
      </c>
      <c r="D11" s="44">
        <v>0</v>
      </c>
      <c r="E11" s="44">
        <f>SUM(C11+'August 2016'!E11)</f>
        <v>1499718.6300000001</v>
      </c>
      <c r="F11" s="45"/>
      <c r="G11" s="44">
        <f>B11-E11</f>
        <v>8447089.3899999987</v>
      </c>
      <c r="H11" s="46">
        <f>E11/B11</f>
        <v>0.15077385900929455</v>
      </c>
    </row>
    <row r="12" spans="1:8" x14ac:dyDescent="0.2">
      <c r="A12" s="20" t="s">
        <v>18</v>
      </c>
      <c r="B12" s="51">
        <v>-10115110.57</v>
      </c>
      <c r="C12" s="21">
        <v>-760089.06</v>
      </c>
      <c r="D12" s="21">
        <v>-14556.04</v>
      </c>
      <c r="E12" s="21">
        <f>SUM(C12+D12+'August 2016'!E12-'August 2016'!D12)</f>
        <v>-1451496.88</v>
      </c>
      <c r="F12" s="7"/>
      <c r="G12" s="21">
        <f>B12-E12</f>
        <v>-8663613.6900000013</v>
      </c>
      <c r="H12" s="26">
        <f>E12/B12</f>
        <v>0.14349787577260265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27647.33</v>
      </c>
      <c r="D15" s="44">
        <v>0</v>
      </c>
      <c r="E15" s="44">
        <f>SUM(C15+'August 2016'!E15)</f>
        <v>34018.25</v>
      </c>
      <c r="F15" s="45"/>
      <c r="G15" s="44">
        <f>B15-E15</f>
        <v>381457.75</v>
      </c>
      <c r="H15" s="46">
        <f>E15/B15</f>
        <v>8.1877773926773145E-2</v>
      </c>
    </row>
    <row r="16" spans="1:8" x14ac:dyDescent="0.2">
      <c r="A16" s="20" t="s">
        <v>18</v>
      </c>
      <c r="B16" s="51">
        <v>-502234</v>
      </c>
      <c r="C16" s="21">
        <v>-32634.43</v>
      </c>
      <c r="D16" s="21">
        <v>0</v>
      </c>
      <c r="E16" s="21">
        <f>SUM(C16+'August 2016'!E16)</f>
        <v>-41140.39</v>
      </c>
      <c r="F16" s="7"/>
      <c r="G16" s="21">
        <f>B16-E16</f>
        <v>-461093.61</v>
      </c>
      <c r="H16" s="26">
        <f>E16/B16</f>
        <v>8.1914784741773758E-2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264320</v>
      </c>
      <c r="C19" s="44">
        <v>12672.58</v>
      </c>
      <c r="D19" s="44">
        <v>0</v>
      </c>
      <c r="E19" s="44">
        <f>SUM(C19+'August 2016'!E19)</f>
        <v>29050.43</v>
      </c>
      <c r="F19" s="45"/>
      <c r="G19" s="44">
        <f>B19-E19</f>
        <v>235269.57</v>
      </c>
      <c r="H19" s="46">
        <f>E19/B19</f>
        <v>0.10990628783292979</v>
      </c>
    </row>
    <row r="20" spans="1:8" x14ac:dyDescent="0.2">
      <c r="A20" s="20" t="s">
        <v>18</v>
      </c>
      <c r="B20" s="51">
        <v>-253539.5</v>
      </c>
      <c r="C20" s="21">
        <v>-10305.24</v>
      </c>
      <c r="D20" s="21">
        <v>0</v>
      </c>
      <c r="E20" s="21">
        <f>SUM(C20+'August 2016'!E20)</f>
        <v>-108826.55</v>
      </c>
      <c r="F20" s="7"/>
      <c r="G20" s="21">
        <f>B20-E20</f>
        <v>-144712.95000000001</v>
      </c>
      <c r="H20" s="26">
        <f>E20/B20</f>
        <v>0.42922917336351929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1864.95</v>
      </c>
      <c r="D23" s="44">
        <v>0</v>
      </c>
      <c r="E23" s="44">
        <f>SUM(C23+'August 2016'!E23)</f>
        <v>12216.2</v>
      </c>
      <c r="F23" s="45"/>
      <c r="G23" s="44">
        <f>SUM(B23-E23)</f>
        <v>-12216.2</v>
      </c>
      <c r="H23" s="46" t="e">
        <f>SUM(E23/B23)</f>
        <v>#DIV/0!</v>
      </c>
    </row>
    <row r="24" spans="1:8" x14ac:dyDescent="0.2">
      <c r="A24" s="20" t="s">
        <v>18</v>
      </c>
      <c r="B24" s="51">
        <v>-4394052</v>
      </c>
      <c r="C24" s="21">
        <v>-2446138.09</v>
      </c>
      <c r="D24" s="21">
        <v>0</v>
      </c>
      <c r="E24" s="21">
        <f>SUM(C24+'August 2016'!E24)</f>
        <v>-2687626.4499999997</v>
      </c>
      <c r="F24" s="7"/>
      <c r="G24" s="21">
        <f>SUM(B24-E24)</f>
        <v>-1706425.5500000003</v>
      </c>
      <c r="H24" s="26">
        <f>SUM(E24/B24)</f>
        <v>0.61165103417073796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2087032</v>
      </c>
      <c r="C27" s="49">
        <v>2242.16</v>
      </c>
      <c r="D27" s="49">
        <v>0</v>
      </c>
      <c r="E27" s="44">
        <f>SUM(C27+'August 2016'!E27)</f>
        <v>31539.02</v>
      </c>
      <c r="F27" s="50"/>
      <c r="G27" s="44">
        <f>B27-E27</f>
        <v>2055492.98</v>
      </c>
      <c r="H27" s="46">
        <f>E27/B27</f>
        <v>1.5111900536263939E-2</v>
      </c>
    </row>
    <row r="28" spans="1:8" x14ac:dyDescent="0.2">
      <c r="A28" s="20" t="s">
        <v>18</v>
      </c>
      <c r="B28" s="41">
        <v>-1943087</v>
      </c>
      <c r="C28" s="22">
        <v>-1750</v>
      </c>
      <c r="D28" s="22">
        <v>0</v>
      </c>
      <c r="E28" s="21">
        <f>SUM(C28+'August 2016'!E28)</f>
        <v>-461644.99</v>
      </c>
      <c r="F28" s="8"/>
      <c r="G28" s="21">
        <f>B28-E28</f>
        <v>-1481442.01</v>
      </c>
      <c r="H28" s="26">
        <f>E28/B28</f>
        <v>0.23758328371297838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0</v>
      </c>
      <c r="D31" s="49">
        <v>0</v>
      </c>
      <c r="E31" s="44">
        <f>SUM(C31+'August 2016'!E31)</f>
        <v>185</v>
      </c>
      <c r="F31" s="50"/>
      <c r="G31" s="44">
        <f>B31-E31</f>
        <v>10615</v>
      </c>
      <c r="H31" s="46">
        <f>E31/B31</f>
        <v>1.712962962962963E-2</v>
      </c>
    </row>
    <row r="32" spans="1:8" x14ac:dyDescent="0.2">
      <c r="A32" s="20" t="s">
        <v>18</v>
      </c>
      <c r="B32" s="41">
        <v>-10800</v>
      </c>
      <c r="C32" s="22">
        <v>-1000</v>
      </c>
      <c r="D32" s="22">
        <v>0</v>
      </c>
      <c r="E32" s="21">
        <f>SUM(C32+'August 2016'!E32)</f>
        <v>-1200</v>
      </c>
      <c r="F32" s="8"/>
      <c r="G32" s="21">
        <f>B32-E32</f>
        <v>-9600</v>
      </c>
      <c r="H32" s="26">
        <f>E32/B32</f>
        <v>0.1111111111111111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10833</v>
      </c>
      <c r="C35" s="49">
        <v>0</v>
      </c>
      <c r="D35" s="49">
        <v>0</v>
      </c>
      <c r="E35" s="44">
        <f>SUM(C35+D35+'July 2016'!E35)</f>
        <v>0.01</v>
      </c>
      <c r="F35" s="50"/>
      <c r="G35" s="44">
        <f>B35-E35</f>
        <v>10832.99</v>
      </c>
      <c r="H35" s="46">
        <f>E35/B35</f>
        <v>9.2310532631773291E-7</v>
      </c>
    </row>
    <row r="36" spans="1:8" x14ac:dyDescent="0.2">
      <c r="A36" s="20" t="s">
        <v>18</v>
      </c>
      <c r="B36" s="41">
        <v>-11374</v>
      </c>
      <c r="C36" s="22">
        <v>-947.78</v>
      </c>
      <c r="D36" s="22">
        <v>0</v>
      </c>
      <c r="E36" s="21">
        <f>SUM(C36+'August 2016'!E36)</f>
        <v>-947.78</v>
      </c>
      <c r="F36" s="8"/>
      <c r="G36" s="21">
        <f>B36-E36</f>
        <v>-10426.219999999999</v>
      </c>
      <c r="H36" s="26">
        <f>E36/B36</f>
        <v>8.3328644276419908E-2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27124.02</v>
      </c>
      <c r="D39" s="49">
        <v>0</v>
      </c>
      <c r="E39" s="44">
        <f>SUM(C39+'August 2016'!E39)</f>
        <v>29097.83</v>
      </c>
      <c r="F39" s="50"/>
      <c r="G39" s="44">
        <f>B39-E39</f>
        <v>66707.539999999994</v>
      </c>
      <c r="H39" s="46">
        <f>E39/B39</f>
        <v>0.30371815275072789</v>
      </c>
    </row>
    <row r="40" spans="1:8" x14ac:dyDescent="0.2">
      <c r="A40" s="20" t="s">
        <v>18</v>
      </c>
      <c r="B40" s="41">
        <v>-95805.37</v>
      </c>
      <c r="C40" s="22">
        <v>-11205.13</v>
      </c>
      <c r="D40" s="22">
        <v>0</v>
      </c>
      <c r="E40" s="21">
        <f>SUM(C40+'August 2016'!E40)</f>
        <v>-23368.57</v>
      </c>
      <c r="F40" s="8"/>
      <c r="G40" s="21">
        <f>B40-E40</f>
        <v>-72436.799999999988</v>
      </c>
      <c r="H40" s="26">
        <f>E40/B40</f>
        <v>0.24391712072089489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-20.83</v>
      </c>
      <c r="D43" s="49">
        <v>0</v>
      </c>
      <c r="E43" s="44">
        <f>SUM(C43+'August 2016'!E43)</f>
        <v>-19.549999999999997</v>
      </c>
      <c r="F43" s="50"/>
      <c r="G43" s="44">
        <f>B43-E43</f>
        <v>6719.55</v>
      </c>
      <c r="H43" s="46">
        <f>E43/B43</f>
        <v>-2.9179104477611937E-3</v>
      </c>
    </row>
    <row r="44" spans="1:8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SUM(C44+'August 2016'!E44)</f>
        <v>0</v>
      </c>
      <c r="F44" s="8"/>
      <c r="G44" s="21">
        <f>B44-E44</f>
        <v>-57095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135970</v>
      </c>
      <c r="C47" s="49">
        <v>0</v>
      </c>
      <c r="D47" s="49">
        <v>0</v>
      </c>
      <c r="E47" s="44">
        <f>SUM(C47+'August 2016'!E47)</f>
        <v>-3546.36</v>
      </c>
      <c r="F47" s="50"/>
      <c r="G47" s="44">
        <f>B47-E47</f>
        <v>139516.35999999999</v>
      </c>
      <c r="H47" s="46">
        <f>E47/B47</f>
        <v>-2.6081929837464147E-2</v>
      </c>
    </row>
    <row r="48" spans="1:8" x14ac:dyDescent="0.2">
      <c r="A48" s="20" t="s">
        <v>18</v>
      </c>
      <c r="B48" s="41">
        <v>-133487</v>
      </c>
      <c r="C48" s="22">
        <v>400</v>
      </c>
      <c r="D48" s="22">
        <v>0</v>
      </c>
      <c r="E48" s="21">
        <f>SUM(C48+'August 2016'!E48)</f>
        <v>-11743.75</v>
      </c>
      <c r="F48" s="8"/>
      <c r="G48" s="21">
        <f>B48-E48</f>
        <v>-121743.25</v>
      </c>
      <c r="H48" s="26">
        <f>E48/B48</f>
        <v>8.7976731816581388E-2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SUM(B11+B15+B19+B27+B31+B35+B39+B43+B47+B23)</f>
        <v>12973744.389999999</v>
      </c>
      <c r="C51" s="49">
        <f>SUM(C11+C15+C19+C27+C35+C39+C31+C43+C47+C23)</f>
        <v>980290.1</v>
      </c>
      <c r="D51" s="49">
        <f>SUM(D11+D15+D19+D27+D31+D35+D39+D43+D47)</f>
        <v>0</v>
      </c>
      <c r="E51" s="49">
        <f>E11+E15+E19+E27+E31+E49+E35+E39+E43+E47+E23</f>
        <v>1632259.46</v>
      </c>
      <c r="F51" s="50"/>
      <c r="G51" s="49">
        <f>G11+G15+G19+G27+G31+G49+G35+G23+G39+G43+G47</f>
        <v>11341484.93</v>
      </c>
      <c r="H51" s="46">
        <f>E51/B51</f>
        <v>0.12581251880206035</v>
      </c>
    </row>
    <row r="52" spans="1:8" x14ac:dyDescent="0.2">
      <c r="A52" s="24" t="s">
        <v>29</v>
      </c>
      <c r="B52" s="41">
        <f>SUM(B12+B16+B20+B28+B32+B36+B40+B44+B48+B24)</f>
        <v>-17516584.439999998</v>
      </c>
      <c r="C52" s="22">
        <f>C12+C16+C20+C28+C32+C50+C36++C24+C40+C44+C48</f>
        <v>-3263669.73</v>
      </c>
      <c r="D52" s="22">
        <f>SUM(D48+D44+D40+D36+D32+D28+D24+D20+D16+D12)</f>
        <v>-14556.04</v>
      </c>
      <c r="E52" s="22">
        <f>E12+E16+E20+E28+E32+E50+E36+E24+E40+E44+E48</f>
        <v>-4787995.3599999994</v>
      </c>
      <c r="F52" s="8"/>
      <c r="G52" s="22">
        <f>G12+G16+G20+G28+G32+G50+G36+G24+G40+G44+G48</f>
        <v>-12728589.080000002</v>
      </c>
      <c r="H52" s="26">
        <f>E52/B52</f>
        <v>0.27334069472278921</v>
      </c>
    </row>
    <row r="53" spans="1:8" x14ac:dyDescent="0.2">
      <c r="A53" s="2" t="s">
        <v>30</v>
      </c>
      <c r="B53" s="1"/>
      <c r="C53" s="1"/>
      <c r="D53" s="1"/>
      <c r="E53" s="1"/>
      <c r="F53" s="1"/>
      <c r="G53" s="1"/>
      <c r="H53" s="10"/>
    </row>
    <row r="54" spans="1:8" x14ac:dyDescent="0.2">
      <c r="A54" s="1"/>
      <c r="B54" s="1"/>
      <c r="C54" s="1"/>
      <c r="D54" s="1"/>
      <c r="E54" s="1"/>
      <c r="F54" s="1"/>
      <c r="G54" s="1"/>
      <c r="H54" s="10"/>
    </row>
    <row r="55" spans="1:8" x14ac:dyDescent="0.2">
      <c r="A55" s="1"/>
      <c r="B55" s="1"/>
      <c r="C55" s="1"/>
      <c r="D55" s="1"/>
      <c r="E55" s="1"/>
      <c r="F55" s="1"/>
      <c r="G55" s="1"/>
    </row>
    <row r="56" spans="1:8" ht="16.5" x14ac:dyDescent="0.3">
      <c r="A56" s="105"/>
      <c r="B56" s="105"/>
      <c r="C56" s="105"/>
      <c r="D56" s="105"/>
      <c r="E56" s="105"/>
      <c r="F56" s="105"/>
      <c r="G56" s="105"/>
      <c r="H56" s="105"/>
    </row>
    <row r="57" spans="1:8" x14ac:dyDescent="0.2">
      <c r="A57" s="2" t="s">
        <v>30</v>
      </c>
      <c r="B57" s="1"/>
      <c r="C57" s="1"/>
      <c r="D57" s="1"/>
      <c r="E57" s="1"/>
      <c r="F57" s="1"/>
      <c r="G57" s="1"/>
      <c r="H57" s="10"/>
    </row>
    <row r="58" spans="1:8" x14ac:dyDescent="0.2">
      <c r="A58" s="1"/>
      <c r="B58" s="1"/>
      <c r="C58" s="1"/>
      <c r="D58" s="1"/>
      <c r="E58" s="1"/>
      <c r="F58" s="1"/>
      <c r="G58" s="1"/>
      <c r="H58" s="10"/>
    </row>
    <row r="59" spans="1:8" x14ac:dyDescent="0.2">
      <c r="A59" s="96"/>
      <c r="B59" s="39" t="s">
        <v>11</v>
      </c>
      <c r="C59" s="39" t="s">
        <v>67</v>
      </c>
      <c r="D59" s="1"/>
      <c r="E59" s="1"/>
      <c r="F59" s="3"/>
      <c r="G59" s="3"/>
      <c r="H59" s="9"/>
    </row>
    <row r="60" spans="1:8" ht="15.75" x14ac:dyDescent="0.25">
      <c r="A60" s="96" t="s">
        <v>32</v>
      </c>
      <c r="B60" s="39" t="s">
        <v>33</v>
      </c>
      <c r="C60" s="39" t="s">
        <v>33</v>
      </c>
      <c r="D60" s="1"/>
      <c r="E60" s="54" t="s">
        <v>34</v>
      </c>
      <c r="F60" s="1"/>
      <c r="G60" s="54" t="s">
        <v>35</v>
      </c>
      <c r="H60" s="9"/>
    </row>
    <row r="61" spans="1:8" ht="15.75" x14ac:dyDescent="0.25">
      <c r="A61" s="97" t="s">
        <v>36</v>
      </c>
      <c r="B61" s="52">
        <v>481471.27</v>
      </c>
      <c r="C61" s="52">
        <v>354705.02</v>
      </c>
      <c r="D61" s="6"/>
      <c r="E61" s="55" t="s">
        <v>37</v>
      </c>
      <c r="F61" s="1"/>
      <c r="G61" s="90">
        <v>16175.88</v>
      </c>
      <c r="H61" s="11"/>
    </row>
    <row r="62" spans="1:8" ht="15.75" x14ac:dyDescent="0.25">
      <c r="A62" s="97" t="s">
        <v>38</v>
      </c>
      <c r="B62" s="52">
        <v>50757.18</v>
      </c>
      <c r="C62" s="52">
        <v>35117.5</v>
      </c>
      <c r="D62" s="6"/>
      <c r="E62" s="55" t="s">
        <v>39</v>
      </c>
      <c r="F62" s="1"/>
      <c r="G62" s="90">
        <v>16816.82</v>
      </c>
      <c r="H62" s="11"/>
    </row>
    <row r="63" spans="1:8" ht="15.75" x14ac:dyDescent="0.25">
      <c r="A63" s="97" t="s">
        <v>40</v>
      </c>
      <c r="B63" s="52">
        <v>1332.07</v>
      </c>
      <c r="C63" s="52">
        <v>2571.2399999999998</v>
      </c>
      <c r="D63" s="8"/>
      <c r="E63" s="55" t="s">
        <v>41</v>
      </c>
      <c r="F63" s="1"/>
      <c r="G63" s="90">
        <v>322791.40000000002</v>
      </c>
      <c r="H63" s="11"/>
    </row>
    <row r="64" spans="1:8" ht="15.7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F64" s="1"/>
      <c r="G64" s="90">
        <v>115967.99</v>
      </c>
      <c r="H64" s="11"/>
    </row>
    <row r="65" spans="1:8" ht="15.75" x14ac:dyDescent="0.25">
      <c r="A65" s="97" t="s">
        <v>44</v>
      </c>
      <c r="B65" s="52">
        <v>9030.58</v>
      </c>
      <c r="C65" s="52">
        <v>8068.23</v>
      </c>
      <c r="D65" s="8"/>
      <c r="E65" s="55" t="s">
        <v>45</v>
      </c>
      <c r="F65" s="1"/>
      <c r="G65" s="90">
        <v>16616.48</v>
      </c>
      <c r="H65" s="10"/>
    </row>
    <row r="66" spans="1:8" ht="15.75" x14ac:dyDescent="0.25">
      <c r="A66" s="98" t="s">
        <v>46</v>
      </c>
      <c r="B66" s="52">
        <v>3669.75</v>
      </c>
      <c r="C66" s="52">
        <v>0</v>
      </c>
      <c r="D66" s="8"/>
      <c r="E66" s="55" t="s">
        <v>47</v>
      </c>
      <c r="F66" s="1"/>
      <c r="G66" s="90">
        <v>58289.14</v>
      </c>
      <c r="H66" s="11"/>
    </row>
    <row r="67" spans="1:8" ht="15.75" x14ac:dyDescent="0.25">
      <c r="A67" s="97" t="s">
        <v>48</v>
      </c>
      <c r="B67" s="52">
        <v>8076.55</v>
      </c>
      <c r="C67" s="52">
        <v>8099.33</v>
      </c>
      <c r="D67" s="8"/>
      <c r="E67" s="55" t="s">
        <v>51</v>
      </c>
      <c r="F67" s="1"/>
      <c r="G67" s="90">
        <v>111.3</v>
      </c>
      <c r="H67" s="11"/>
    </row>
    <row r="68" spans="1:8" ht="15.75" x14ac:dyDescent="0.25">
      <c r="A68" s="98" t="s">
        <v>85</v>
      </c>
      <c r="B68" s="52"/>
      <c r="C68" s="52">
        <v>249.2</v>
      </c>
      <c r="D68" s="8"/>
      <c r="E68" s="55" t="s">
        <v>83</v>
      </c>
      <c r="F68" s="1"/>
      <c r="G68" s="68">
        <v>3669.75</v>
      </c>
      <c r="H68" s="10"/>
    </row>
    <row r="69" spans="1:8" x14ac:dyDescent="0.2">
      <c r="A69" s="98" t="s">
        <v>86</v>
      </c>
      <c r="B69" s="52">
        <v>0.1</v>
      </c>
      <c r="C69" s="52">
        <v>0.1</v>
      </c>
      <c r="D69" s="8"/>
      <c r="E69" s="93" t="s">
        <v>65</v>
      </c>
      <c r="F69" s="1"/>
      <c r="G69" s="56">
        <v>750</v>
      </c>
      <c r="H69" s="11"/>
    </row>
    <row r="70" spans="1:8" ht="15.75" x14ac:dyDescent="0.25">
      <c r="A70" s="98" t="s">
        <v>87</v>
      </c>
      <c r="B70" s="52"/>
      <c r="C70" s="52">
        <v>8460</v>
      </c>
      <c r="D70" s="8"/>
      <c r="E70" s="55" t="s">
        <v>63</v>
      </c>
      <c r="F70" s="1"/>
      <c r="G70" s="68">
        <v>8460</v>
      </c>
      <c r="H70" s="10"/>
    </row>
    <row r="71" spans="1:8" ht="15.75" x14ac:dyDescent="0.25">
      <c r="A71" s="98"/>
      <c r="B71" s="52"/>
      <c r="C71" s="52"/>
      <c r="D71" s="8"/>
      <c r="E71" s="55"/>
      <c r="F71" s="1"/>
      <c r="G71" s="68"/>
      <c r="H71" s="10"/>
    </row>
    <row r="72" spans="1:8" ht="16.5" thickBot="1" x14ac:dyDescent="0.3">
      <c r="A72" s="98"/>
      <c r="B72" s="52"/>
      <c r="C72" s="52"/>
      <c r="D72" s="1"/>
      <c r="F72" s="1"/>
      <c r="G72" s="57">
        <f>SUM(G61:G71)</f>
        <v>559648.76</v>
      </c>
      <c r="H72" s="10"/>
    </row>
    <row r="73" spans="1:8" ht="15.75" thickTop="1" x14ac:dyDescent="0.2">
      <c r="A73" s="98"/>
      <c r="B73" s="52"/>
      <c r="C73" s="52"/>
      <c r="D73" s="1"/>
      <c r="E73" s="1"/>
      <c r="F73" s="1"/>
      <c r="G73" s="1"/>
      <c r="H73" s="10"/>
    </row>
    <row r="74" spans="1:8" x14ac:dyDescent="0.2">
      <c r="A74" s="98"/>
      <c r="B74" s="52"/>
      <c r="C74" s="52"/>
      <c r="D74" s="1"/>
      <c r="E74" s="1"/>
      <c r="F74" s="1"/>
      <c r="G74" s="1"/>
      <c r="H74" s="10"/>
    </row>
    <row r="75" spans="1:8" x14ac:dyDescent="0.2">
      <c r="A75" s="98"/>
      <c r="B75" s="52"/>
      <c r="C75" s="52"/>
      <c r="D75" s="1"/>
      <c r="E75" s="1"/>
      <c r="F75" s="1"/>
      <c r="G75" s="1"/>
      <c r="H75" s="10"/>
    </row>
    <row r="76" spans="1:8" x14ac:dyDescent="0.2">
      <c r="A76" s="98"/>
      <c r="B76" s="52"/>
      <c r="C76" s="52"/>
      <c r="D76" s="1"/>
      <c r="E76" s="1"/>
      <c r="F76" s="1"/>
      <c r="G76" s="1"/>
      <c r="H76" s="10"/>
    </row>
    <row r="77" spans="1:8" x14ac:dyDescent="0.2">
      <c r="A77" s="98"/>
      <c r="B77" s="52"/>
      <c r="C77" s="52"/>
      <c r="D77" s="1"/>
      <c r="E77" s="1"/>
      <c r="F77" s="1"/>
      <c r="G77" s="1"/>
      <c r="H77" s="10"/>
    </row>
    <row r="78" spans="1:8" x14ac:dyDescent="0.2">
      <c r="A78" s="99" t="s">
        <v>55</v>
      </c>
      <c r="B78" s="64">
        <f>SUM(B61-B62-B63+B64-B65-B66-B67-B68-B69-B70)</f>
        <v>413705.04000000004</v>
      </c>
      <c r="C78" s="64">
        <f>SUM(C61-C62-C63+C64-C65-C66-C67-C68-C69-C70)</f>
        <v>297239.42000000004</v>
      </c>
      <c r="D78" s="1"/>
      <c r="E78" s="1"/>
      <c r="F78" s="1"/>
      <c r="G78" s="1"/>
      <c r="H78" s="10"/>
    </row>
    <row r="79" spans="1:8" x14ac:dyDescent="0.2">
      <c r="A79" s="38" t="s">
        <v>56</v>
      </c>
      <c r="B79" s="52"/>
      <c r="C79" s="52"/>
      <c r="D79" s="1"/>
      <c r="E79" s="1"/>
      <c r="F79" s="1"/>
      <c r="G79" s="1"/>
      <c r="H79" s="10"/>
    </row>
    <row r="80" spans="1:8" x14ac:dyDescent="0.2">
      <c r="A80" s="40" t="s">
        <v>57</v>
      </c>
      <c r="B80" s="101">
        <v>994800.72</v>
      </c>
      <c r="C80" s="101">
        <v>50801.06</v>
      </c>
      <c r="D80" s="1"/>
      <c r="E80" s="1"/>
      <c r="F80" s="1"/>
      <c r="G80" s="1"/>
      <c r="H80" s="10"/>
    </row>
    <row r="81" spans="1:8" x14ac:dyDescent="0.2">
      <c r="A81" s="40" t="s">
        <v>58</v>
      </c>
      <c r="B81" s="101">
        <v>1773273.74</v>
      </c>
      <c r="C81" s="101">
        <v>2536909.31</v>
      </c>
      <c r="D81" s="1"/>
      <c r="E81" s="1"/>
      <c r="F81" s="1"/>
      <c r="G81" s="1"/>
      <c r="H81" s="10"/>
    </row>
    <row r="82" spans="1:8" x14ac:dyDescent="0.2">
      <c r="A82" s="40" t="s">
        <v>59</v>
      </c>
      <c r="B82" s="101">
        <v>1551938.62</v>
      </c>
      <c r="C82" s="101">
        <v>3307854.74</v>
      </c>
      <c r="D82" s="1"/>
      <c r="E82" s="1"/>
      <c r="F82" s="1"/>
      <c r="G82" s="1"/>
      <c r="H82" s="10"/>
    </row>
    <row r="83" spans="1:8" ht="17.25" x14ac:dyDescent="0.35">
      <c r="A83" s="42" t="s">
        <v>60</v>
      </c>
      <c r="B83" s="65">
        <f>SUM(B80:B82)</f>
        <v>4320013.08</v>
      </c>
      <c r="C83" s="65">
        <f>SUM(C80:C82)</f>
        <v>5895565.1100000003</v>
      </c>
      <c r="D83" s="1"/>
      <c r="E83" s="1"/>
      <c r="F83" s="1"/>
      <c r="G83" s="1"/>
      <c r="H83" s="10"/>
    </row>
    <row r="84" spans="1:8" x14ac:dyDescent="0.2">
      <c r="A84" s="87"/>
      <c r="B84" s="12"/>
      <c r="C84" s="12"/>
      <c r="D84" s="1"/>
      <c r="E84" s="1"/>
      <c r="F84" s="1"/>
      <c r="G84" s="1"/>
      <c r="H84" s="10"/>
    </row>
  </sheetData>
  <mergeCells count="3">
    <mergeCell ref="A2:H2"/>
    <mergeCell ref="A3:H3"/>
    <mergeCell ref="A56:H5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opLeftCell="A6" workbookViewId="0">
      <selection activeCell="B13" sqref="B13"/>
    </sheetView>
  </sheetViews>
  <sheetFormatPr defaultRowHeight="15" x14ac:dyDescent="0.2"/>
  <cols>
    <col min="1" max="1" width="24.77734375" bestFit="1" customWidth="1"/>
    <col min="2" max="2" width="11.5546875" bestFit="1" customWidth="1"/>
    <col min="3" max="3" width="10.77734375" bestFit="1" customWidth="1"/>
    <col min="4" max="4" width="9.44140625" bestFit="1" customWidth="1"/>
    <col min="5" max="5" width="17.88671875" bestFit="1" customWidth="1"/>
    <col min="7" max="7" width="11.5546875" bestFit="1" customWidth="1"/>
    <col min="10" max="10" width="10.44140625" bestFit="1" customWidth="1"/>
  </cols>
  <sheetData>
    <row r="1" spans="1:10" x14ac:dyDescent="0.2">
      <c r="A1" s="5"/>
      <c r="B1" s="12"/>
      <c r="C1" s="12"/>
      <c r="D1" s="12"/>
      <c r="E1" s="12"/>
      <c r="F1" s="12"/>
      <c r="G1" s="12"/>
      <c r="H1" s="13"/>
    </row>
    <row r="2" spans="1:10" ht="16.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10" ht="16.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10" x14ac:dyDescent="0.2">
      <c r="A4" s="102"/>
      <c r="B4" s="5"/>
      <c r="C4" s="5"/>
      <c r="D4" s="5"/>
      <c r="E4" s="5"/>
      <c r="F4" s="5"/>
      <c r="G4" s="16" t="s">
        <v>3</v>
      </c>
      <c r="H4" s="34">
        <v>42644</v>
      </c>
    </row>
    <row r="5" spans="1:10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10" x14ac:dyDescent="0.2">
      <c r="A6" s="5"/>
      <c r="B6" s="5"/>
      <c r="C6" s="5"/>
      <c r="D6" s="5"/>
      <c r="E6" s="5"/>
      <c r="F6" s="5"/>
      <c r="G6" s="5"/>
      <c r="H6" s="14"/>
    </row>
    <row r="7" spans="1:10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10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10" x14ac:dyDescent="0.2">
      <c r="A9" s="20"/>
      <c r="B9" s="20"/>
      <c r="C9" s="20"/>
      <c r="D9" s="20"/>
      <c r="E9" s="20"/>
      <c r="F9" s="5"/>
      <c r="G9" s="20"/>
      <c r="H9" s="26"/>
    </row>
    <row r="10" spans="1:10" x14ac:dyDescent="0.2">
      <c r="A10" s="20" t="s">
        <v>16</v>
      </c>
      <c r="B10" s="21"/>
      <c r="C10" s="21"/>
      <c r="D10" s="21"/>
      <c r="E10" s="21"/>
      <c r="F10" s="7"/>
      <c r="G10" s="21"/>
      <c r="H10" s="26"/>
    </row>
    <row r="11" spans="1:10" x14ac:dyDescent="0.2">
      <c r="A11" s="43" t="s">
        <v>17</v>
      </c>
      <c r="B11" s="44">
        <v>9946808.0199999996</v>
      </c>
      <c r="C11" s="44">
        <v>1707672.05</v>
      </c>
      <c r="D11" s="44">
        <v>0</v>
      </c>
      <c r="E11" s="44">
        <f>SUM(C11+'Sept 2016'!E11)</f>
        <v>3207390.68</v>
      </c>
      <c r="F11" s="45"/>
      <c r="G11" s="44">
        <f>B11-E11</f>
        <v>6739417.3399999999</v>
      </c>
      <c r="H11" s="46">
        <f>E11/B11</f>
        <v>0.32245426608726285</v>
      </c>
    </row>
    <row r="12" spans="1:10" x14ac:dyDescent="0.2">
      <c r="A12" s="20" t="s">
        <v>18</v>
      </c>
      <c r="B12" s="51">
        <v>-10021036.48</v>
      </c>
      <c r="C12" s="21">
        <v>-931680.54</v>
      </c>
      <c r="D12" s="21">
        <v>-17529.03</v>
      </c>
      <c r="E12" s="21">
        <v>-2386150.41</v>
      </c>
      <c r="F12" s="7"/>
      <c r="G12" s="21">
        <f>B12-E12</f>
        <v>-7634886.0700000003</v>
      </c>
      <c r="H12" s="26">
        <f>E12/B12</f>
        <v>0.23811413268101386</v>
      </c>
      <c r="J12" s="106"/>
    </row>
    <row r="13" spans="1:10" x14ac:dyDescent="0.2">
      <c r="A13" s="20"/>
      <c r="B13" s="40"/>
      <c r="C13" s="21"/>
      <c r="D13" s="21"/>
      <c r="E13" s="21"/>
      <c r="F13" s="7"/>
      <c r="G13" s="21"/>
      <c r="H13" s="26"/>
    </row>
    <row r="14" spans="1:10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10" x14ac:dyDescent="0.2">
      <c r="A15" s="43" t="s">
        <v>17</v>
      </c>
      <c r="B15" s="44">
        <v>415476</v>
      </c>
      <c r="C15" s="44">
        <v>44955.07</v>
      </c>
      <c r="D15" s="44">
        <v>0</v>
      </c>
      <c r="E15" s="44">
        <f>SUM(C15+'Sept 2016'!E15)</f>
        <v>78973.320000000007</v>
      </c>
      <c r="F15" s="45"/>
      <c r="G15" s="44">
        <f>B15-E15</f>
        <v>336502.68</v>
      </c>
      <c r="H15" s="46">
        <f>E15/B15</f>
        <v>0.19007913814516364</v>
      </c>
    </row>
    <row r="16" spans="1:10" x14ac:dyDescent="0.2">
      <c r="A16" s="20" t="s">
        <v>18</v>
      </c>
      <c r="B16" s="51">
        <v>-502234</v>
      </c>
      <c r="C16" s="21">
        <v>-45103.22</v>
      </c>
      <c r="D16" s="21">
        <v>0</v>
      </c>
      <c r="E16" s="21">
        <f>SUM(C16+'Sept 2016'!E16)</f>
        <v>-86243.61</v>
      </c>
      <c r="F16" s="7"/>
      <c r="G16" s="21">
        <f>B16-E16</f>
        <v>-415990.39</v>
      </c>
      <c r="H16" s="26">
        <f>E16/B16</f>
        <v>0.17171997515102522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264320</v>
      </c>
      <c r="C19" s="44">
        <v>5449.43</v>
      </c>
      <c r="D19" s="44">
        <v>0</v>
      </c>
      <c r="E19" s="44">
        <f>SUM(C19+'Sept 2016'!E19)</f>
        <v>34499.86</v>
      </c>
      <c r="F19" s="45"/>
      <c r="G19" s="44">
        <f>B19-E19</f>
        <v>229820.14</v>
      </c>
      <c r="H19" s="46">
        <f>E19/B19</f>
        <v>0.13052307808716707</v>
      </c>
    </row>
    <row r="20" spans="1:8" x14ac:dyDescent="0.2">
      <c r="A20" s="20" t="s">
        <v>18</v>
      </c>
      <c r="B20" s="51">
        <v>-253539.5</v>
      </c>
      <c r="C20" s="21">
        <v>-10172.16</v>
      </c>
      <c r="D20" s="21">
        <v>0</v>
      </c>
      <c r="E20" s="21">
        <f>SUM(C20+'Sept 2016'!E20)</f>
        <v>-118998.71</v>
      </c>
      <c r="F20" s="7"/>
      <c r="G20" s="21">
        <f>B20-E20</f>
        <v>-134540.78999999998</v>
      </c>
      <c r="H20" s="26">
        <f>E20/B20</f>
        <v>0.46934978573358394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1355.43</v>
      </c>
      <c r="D23" s="44">
        <v>0</v>
      </c>
      <c r="E23" s="44">
        <f>SUM(C23+'Sept 2016'!E23)</f>
        <v>13571.630000000001</v>
      </c>
      <c r="F23" s="45"/>
      <c r="G23" s="44">
        <f>SUM(B23-E23)</f>
        <v>-13571.630000000001</v>
      </c>
      <c r="H23" s="46" t="e">
        <f>SUM(E23/B23)</f>
        <v>#DIV/0!</v>
      </c>
    </row>
    <row r="24" spans="1:8" x14ac:dyDescent="0.2">
      <c r="A24" s="20" t="s">
        <v>18</v>
      </c>
      <c r="B24" s="51">
        <v>-4394052</v>
      </c>
      <c r="C24" s="21">
        <v>-93791.92</v>
      </c>
      <c r="D24" s="21">
        <v>0</v>
      </c>
      <c r="E24" s="21">
        <f>SUM(C24+'Sept 2016'!E24)</f>
        <v>-2781418.3699999996</v>
      </c>
      <c r="F24" s="7"/>
      <c r="G24" s="21">
        <f>SUM(B24-E24)</f>
        <v>-1612633.6300000004</v>
      </c>
      <c r="H24" s="26">
        <f>SUM(E24/B24)</f>
        <v>0.63299623445512243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2087032</v>
      </c>
      <c r="C27" s="49">
        <v>2242.16</v>
      </c>
      <c r="D27" s="49">
        <v>0</v>
      </c>
      <c r="E27" s="44">
        <f>SUM(C27+'Sept 2016'!E27)</f>
        <v>33781.18</v>
      </c>
      <c r="F27" s="50"/>
      <c r="G27" s="44">
        <f>B27-E27</f>
        <v>2053250.82</v>
      </c>
      <c r="H27" s="46">
        <f>E27/B27</f>
        <v>1.6186230014681134E-2</v>
      </c>
    </row>
    <row r="28" spans="1:8" x14ac:dyDescent="0.2">
      <c r="A28" s="20" t="s">
        <v>18</v>
      </c>
      <c r="B28" s="41">
        <v>-1943087</v>
      </c>
      <c r="C28" s="22">
        <v>0</v>
      </c>
      <c r="D28" s="22">
        <v>0</v>
      </c>
      <c r="E28" s="21">
        <f>SUM(C286+'Sept 2016'!E28)</f>
        <v>-461644.99</v>
      </c>
      <c r="F28" s="8"/>
      <c r="G28" s="21">
        <f>B28-E28</f>
        <v>-1481442.01</v>
      </c>
      <c r="H28" s="26">
        <f>E28/B28</f>
        <v>0.23758328371297838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0</v>
      </c>
      <c r="D31" s="49">
        <v>0</v>
      </c>
      <c r="E31" s="44">
        <f>SUM(C31+'August 2016'!E31)</f>
        <v>185</v>
      </c>
      <c r="F31" s="50"/>
      <c r="G31" s="44">
        <f>B31-E31</f>
        <v>10615</v>
      </c>
      <c r="H31" s="46">
        <f>E31/B31</f>
        <v>1.712962962962963E-2</v>
      </c>
    </row>
    <row r="32" spans="1:8" x14ac:dyDescent="0.2">
      <c r="A32" s="20" t="s">
        <v>18</v>
      </c>
      <c r="B32" s="41">
        <v>-10800</v>
      </c>
      <c r="C32" s="22">
        <v>-138.94</v>
      </c>
      <c r="D32" s="22">
        <v>0</v>
      </c>
      <c r="E32" s="21">
        <f>SUM(C32+'Sept 2016'!E32)</f>
        <v>-1338.94</v>
      </c>
      <c r="F32" s="8"/>
      <c r="G32" s="21">
        <f>B32-E32</f>
        <v>-9461.06</v>
      </c>
      <c r="H32" s="26">
        <f>E32/B32</f>
        <v>0.12397592592592593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10833</v>
      </c>
      <c r="C35" s="49">
        <v>0</v>
      </c>
      <c r="D35" s="49">
        <v>0</v>
      </c>
      <c r="E35" s="44">
        <f>SUM(C35+D35+'July 2016'!E35)</f>
        <v>0.01</v>
      </c>
      <c r="F35" s="50"/>
      <c r="G35" s="44">
        <f>B35-E35</f>
        <v>10832.99</v>
      </c>
      <c r="H35" s="46">
        <f>E35/B35</f>
        <v>9.2310532631773291E-7</v>
      </c>
    </row>
    <row r="36" spans="1:8" x14ac:dyDescent="0.2">
      <c r="A36" s="20" t="s">
        <v>18</v>
      </c>
      <c r="B36" s="41">
        <v>-11374</v>
      </c>
      <c r="C36" s="22">
        <v>-947.78</v>
      </c>
      <c r="D36" s="22">
        <v>0</v>
      </c>
      <c r="E36" s="21">
        <f>SUM(C36+'Sept 2016'!E36)</f>
        <v>-1895.56</v>
      </c>
      <c r="F36" s="8"/>
      <c r="G36" s="21">
        <f>B36-E36</f>
        <v>-9478.44</v>
      </c>
      <c r="H36" s="26">
        <f>E36/B36</f>
        <v>0.16665728855283982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4554.3599999999997</v>
      </c>
      <c r="D39" s="49">
        <v>0</v>
      </c>
      <c r="E39" s="44">
        <f>SUM(C39+'Sept 2016'!E39)</f>
        <v>33652.19</v>
      </c>
      <c r="F39" s="50"/>
      <c r="G39" s="44">
        <f>B39-E39</f>
        <v>62153.179999999993</v>
      </c>
      <c r="H39" s="46">
        <f>E39/B39</f>
        <v>0.35125578033882654</v>
      </c>
    </row>
    <row r="40" spans="1:8" x14ac:dyDescent="0.2">
      <c r="A40" s="20" t="s">
        <v>18</v>
      </c>
      <c r="B40" s="41">
        <v>-95805.37</v>
      </c>
      <c r="C40" s="22">
        <v>-11657.06</v>
      </c>
      <c r="D40" s="22">
        <v>-1198</v>
      </c>
      <c r="E40" s="21">
        <f>SUM(C40+D40+'Sept 2016'!E40)</f>
        <v>-36223.629999999997</v>
      </c>
      <c r="F40" s="8"/>
      <c r="G40" s="21">
        <f>B40-E40</f>
        <v>-59581.74</v>
      </c>
      <c r="H40" s="26">
        <f>E40/B40</f>
        <v>0.37809602948143722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796.45</v>
      </c>
      <c r="D43" s="49">
        <v>0</v>
      </c>
      <c r="E43" s="44">
        <f>SUM(C43+'Sept 2016'!E43)</f>
        <v>776.90000000000009</v>
      </c>
      <c r="F43" s="50"/>
      <c r="G43" s="44">
        <f>B43-E43</f>
        <v>5923.1</v>
      </c>
      <c r="H43" s="46">
        <f>E43/B43</f>
        <v>0.11595522388059702</v>
      </c>
    </row>
    <row r="44" spans="1:8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SUM(C44+'Sept 2016'!E44)</f>
        <v>0</v>
      </c>
      <c r="F44" s="8"/>
      <c r="G44" s="21">
        <f>B44-E44</f>
        <v>-57095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135970</v>
      </c>
      <c r="C47" s="49">
        <v>796.45</v>
      </c>
      <c r="D47" s="49">
        <v>0</v>
      </c>
      <c r="E47" s="44">
        <f>SUM(C47+'Sept 2016'!E47)</f>
        <v>-2749.91</v>
      </c>
      <c r="F47" s="50"/>
      <c r="G47" s="44">
        <f>B47-E47</f>
        <v>138719.91</v>
      </c>
      <c r="H47" s="46">
        <f>E47/B47</f>
        <v>-2.022438773258807E-2</v>
      </c>
    </row>
    <row r="48" spans="1:8" x14ac:dyDescent="0.2">
      <c r="A48" s="20" t="s">
        <v>18</v>
      </c>
      <c r="B48" s="41">
        <v>-133487</v>
      </c>
      <c r="C48" s="22">
        <v>0</v>
      </c>
      <c r="D48" s="22">
        <v>0</v>
      </c>
      <c r="E48" s="21">
        <f>SUM(C48+'Sept 2016'!E48)</f>
        <v>-11743.75</v>
      </c>
      <c r="F48" s="8"/>
      <c r="G48" s="21">
        <f>B48-E48</f>
        <v>-121743.25</v>
      </c>
      <c r="H48" s="26">
        <f>E48/B48</f>
        <v>8.7976731816581388E-2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SUM(B11+B15+B19+B27+B31+B35+B39+B43+B47+B23)</f>
        <v>12973744.389999999</v>
      </c>
      <c r="C51" s="49">
        <f>SUM(C11+C15+C19+C27+C35+C39+C31+C43+C47+C23)</f>
        <v>1767821.4</v>
      </c>
      <c r="D51" s="49">
        <f>SUM(D11+D15+D19+D27+D31+D35+D39+D43+D47)</f>
        <v>0</v>
      </c>
      <c r="E51" s="49">
        <f>E11+E15+E19+E27+E31+E49+E35+E39+E43+E47+E23</f>
        <v>3400080.8599999994</v>
      </c>
      <c r="F51" s="50"/>
      <c r="G51" s="49">
        <f>G11+G15+G19+G27+G31+G49+G35+G23+G39+G43+G47</f>
        <v>9573663.5299999975</v>
      </c>
      <c r="H51" s="46">
        <f>E51/B51</f>
        <v>0.26207398248270863</v>
      </c>
    </row>
    <row r="52" spans="1:8" x14ac:dyDescent="0.2">
      <c r="A52" s="24" t="s">
        <v>29</v>
      </c>
      <c r="B52" s="41">
        <f>SUM(B12+B16+B20+B28+B32+B36+B40+B44+B48+B24)</f>
        <v>-17422510.350000001</v>
      </c>
      <c r="C52" s="22">
        <f>C12+C16+C20+C28+C32+C50+C36++C24+C40+C44+C48</f>
        <v>-1093491.6200000001</v>
      </c>
      <c r="D52" s="22">
        <f>SUM(D48+D44+D40+D36+D32+D28+D24+D20+D16+D12)</f>
        <v>-18727.03</v>
      </c>
      <c r="E52" s="22">
        <f>E12+E16+E20+E28+E32+E50+E36+E24+E40+E44+E48</f>
        <v>-5885657.9699999997</v>
      </c>
      <c r="F52" s="8"/>
      <c r="G52" s="22">
        <f>G12+G16+G20+G28+G32+G50+G36+G24+G40+G44+G48</f>
        <v>-11536852.380000001</v>
      </c>
      <c r="H52" s="26">
        <f>E52/B52</f>
        <v>0.33781916909580134</v>
      </c>
    </row>
    <row r="53" spans="1:8" x14ac:dyDescent="0.2">
      <c r="A53" s="2" t="s">
        <v>30</v>
      </c>
      <c r="B53" s="1"/>
      <c r="C53" s="1"/>
      <c r="D53" s="1"/>
      <c r="E53" s="1"/>
      <c r="F53" s="1"/>
      <c r="G53" s="1"/>
      <c r="H53" s="10"/>
    </row>
    <row r="54" spans="1:8" x14ac:dyDescent="0.2">
      <c r="A54" s="1"/>
      <c r="B54" s="1"/>
      <c r="C54" s="1"/>
      <c r="D54" s="1"/>
      <c r="E54" s="1"/>
      <c r="F54" s="1"/>
      <c r="G54" s="1"/>
      <c r="H54" s="10"/>
    </row>
    <row r="55" spans="1:8" x14ac:dyDescent="0.2">
      <c r="A55" s="1"/>
      <c r="B55" s="1"/>
      <c r="C55" s="1"/>
      <c r="D55" s="1"/>
      <c r="E55" s="1"/>
      <c r="F55" s="1"/>
      <c r="G55" s="1"/>
    </row>
    <row r="56" spans="1:8" ht="16.5" x14ac:dyDescent="0.3">
      <c r="A56" s="105"/>
      <c r="B56" s="105"/>
      <c r="C56" s="105"/>
      <c r="D56" s="105"/>
      <c r="E56" s="105"/>
      <c r="F56" s="105"/>
      <c r="G56" s="105"/>
      <c r="H56" s="105"/>
    </row>
    <row r="57" spans="1:8" x14ac:dyDescent="0.2">
      <c r="A57" s="2" t="s">
        <v>30</v>
      </c>
      <c r="B57" s="1"/>
      <c r="C57" s="1"/>
      <c r="D57" s="1"/>
      <c r="E57" s="1"/>
      <c r="F57" s="1"/>
      <c r="G57" s="1"/>
      <c r="H57" s="10"/>
    </row>
    <row r="58" spans="1:8" x14ac:dyDescent="0.2">
      <c r="A58" s="1"/>
      <c r="B58" s="1"/>
      <c r="C58" s="1"/>
      <c r="D58" s="1"/>
      <c r="E58" s="1"/>
      <c r="F58" s="1"/>
      <c r="G58" s="1"/>
      <c r="H58" s="10"/>
    </row>
    <row r="59" spans="1:8" x14ac:dyDescent="0.2">
      <c r="A59" s="96"/>
      <c r="B59" s="39" t="s">
        <v>11</v>
      </c>
      <c r="C59" s="39" t="s">
        <v>67</v>
      </c>
      <c r="D59" s="1"/>
      <c r="E59" s="1"/>
      <c r="F59" s="3"/>
      <c r="G59" s="3"/>
      <c r="H59" s="9"/>
    </row>
    <row r="60" spans="1:8" ht="15.75" x14ac:dyDescent="0.25">
      <c r="A60" s="96" t="s">
        <v>32</v>
      </c>
      <c r="B60" s="39" t="s">
        <v>33</v>
      </c>
      <c r="C60" s="39" t="s">
        <v>33</v>
      </c>
      <c r="D60" s="1"/>
      <c r="E60" s="54" t="s">
        <v>34</v>
      </c>
      <c r="F60" s="1"/>
      <c r="G60" s="54" t="s">
        <v>35</v>
      </c>
      <c r="H60" s="9"/>
    </row>
    <row r="61" spans="1:8" ht="15.75" x14ac:dyDescent="0.25">
      <c r="A61" s="97" t="s">
        <v>36</v>
      </c>
      <c r="B61" s="52">
        <v>340657.8</v>
      </c>
      <c r="C61" s="52">
        <v>481471.27</v>
      </c>
      <c r="D61" s="6"/>
      <c r="E61" s="55" t="s">
        <v>37</v>
      </c>
      <c r="F61" s="1"/>
      <c r="G61" s="90">
        <v>16235.27</v>
      </c>
      <c r="H61" s="11"/>
    </row>
    <row r="62" spans="1:8" ht="15.75" x14ac:dyDescent="0.25">
      <c r="A62" s="97" t="s">
        <v>38</v>
      </c>
      <c r="B62" s="52">
        <v>79463.58</v>
      </c>
      <c r="C62" s="52">
        <v>50757.18</v>
      </c>
      <c r="D62" s="6"/>
      <c r="E62" s="55" t="s">
        <v>39</v>
      </c>
      <c r="F62" s="1"/>
      <c r="G62" s="90">
        <v>17811.38</v>
      </c>
      <c r="H62" s="11"/>
    </row>
    <row r="63" spans="1:8" ht="15.75" x14ac:dyDescent="0.25">
      <c r="A63" s="97" t="s">
        <v>40</v>
      </c>
      <c r="B63" s="52">
        <v>1289.4000000000001</v>
      </c>
      <c r="C63" s="52">
        <v>1332.07</v>
      </c>
      <c r="D63" s="8"/>
      <c r="E63" s="55" t="s">
        <v>41</v>
      </c>
      <c r="F63" s="1"/>
      <c r="G63" s="90">
        <v>317715.98</v>
      </c>
      <c r="H63" s="11"/>
    </row>
    <row r="64" spans="1:8" ht="15.7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F64" s="1"/>
      <c r="G64" s="90">
        <v>112843.67</v>
      </c>
      <c r="H64" s="11"/>
    </row>
    <row r="65" spans="1:8" ht="15.75" x14ac:dyDescent="0.25">
      <c r="A65" s="97" t="s">
        <v>44</v>
      </c>
      <c r="B65" s="52">
        <v>8406.66</v>
      </c>
      <c r="C65" s="52">
        <v>9030.58</v>
      </c>
      <c r="D65" s="8"/>
      <c r="E65" s="55" t="s">
        <v>45</v>
      </c>
      <c r="F65" s="1"/>
      <c r="G65" s="90">
        <v>15833.8</v>
      </c>
      <c r="H65" s="10"/>
    </row>
    <row r="66" spans="1:8" ht="15.75" x14ac:dyDescent="0.25">
      <c r="A66" s="98" t="s">
        <v>46</v>
      </c>
      <c r="B66" s="52"/>
      <c r="C66" s="52">
        <v>3669.75</v>
      </c>
      <c r="D66" s="8"/>
      <c r="E66" s="55" t="s">
        <v>47</v>
      </c>
      <c r="F66" s="1"/>
      <c r="G66" s="90">
        <v>58075.68</v>
      </c>
      <c r="H66" s="11"/>
    </row>
    <row r="67" spans="1:8" ht="15.75" x14ac:dyDescent="0.25">
      <c r="A67" s="97" t="s">
        <v>48</v>
      </c>
      <c r="B67" s="52">
        <v>8158.72</v>
      </c>
      <c r="C67" s="52">
        <v>8076.55</v>
      </c>
      <c r="D67" s="8"/>
      <c r="E67" s="55" t="s">
        <v>51</v>
      </c>
      <c r="F67" s="1"/>
      <c r="G67" s="90">
        <v>79.3</v>
      </c>
      <c r="H67" s="11"/>
    </row>
    <row r="68" spans="1:8" ht="15.75" x14ac:dyDescent="0.25">
      <c r="A68" s="98" t="s">
        <v>85</v>
      </c>
      <c r="B68" s="52"/>
      <c r="C68" s="52"/>
      <c r="D68" s="8"/>
      <c r="E68" s="55" t="s">
        <v>83</v>
      </c>
      <c r="F68" s="1"/>
      <c r="G68" s="68">
        <v>11009.25</v>
      </c>
      <c r="H68" s="10"/>
    </row>
    <row r="69" spans="1:8" x14ac:dyDescent="0.2">
      <c r="A69" s="98" t="s">
        <v>86</v>
      </c>
      <c r="B69" s="52"/>
      <c r="C69" s="52">
        <v>0.1</v>
      </c>
      <c r="D69" s="8"/>
      <c r="E69" s="93" t="s">
        <v>65</v>
      </c>
      <c r="F69" s="1"/>
      <c r="G69" s="56">
        <v>750</v>
      </c>
      <c r="H69" s="11"/>
    </row>
    <row r="70" spans="1:8" ht="15.75" x14ac:dyDescent="0.25">
      <c r="A70" s="98" t="s">
        <v>87</v>
      </c>
      <c r="B70" s="52"/>
      <c r="C70" s="52"/>
      <c r="D70" s="8"/>
      <c r="E70" s="55" t="s">
        <v>88</v>
      </c>
      <c r="F70" s="1"/>
      <c r="G70" s="68">
        <v>31.19</v>
      </c>
      <c r="H70" s="10"/>
    </row>
    <row r="71" spans="1:8" ht="15.75" x14ac:dyDescent="0.25">
      <c r="A71" s="98"/>
      <c r="B71" s="52"/>
      <c r="C71" s="52"/>
      <c r="D71" s="8"/>
      <c r="E71" s="55"/>
      <c r="F71" s="1"/>
      <c r="G71" s="68"/>
      <c r="H71" s="10"/>
    </row>
    <row r="72" spans="1:8" ht="16.5" thickBot="1" x14ac:dyDescent="0.3">
      <c r="A72" s="98"/>
      <c r="B72" s="52"/>
      <c r="C72" s="52"/>
      <c r="D72" s="1"/>
      <c r="F72" s="1"/>
      <c r="G72" s="57">
        <f>SUM(G61:G71)</f>
        <v>550385.52</v>
      </c>
      <c r="H72" s="10"/>
    </row>
    <row r="73" spans="1:8" ht="15.75" thickTop="1" x14ac:dyDescent="0.2">
      <c r="A73" s="98"/>
      <c r="B73" s="52"/>
      <c r="C73" s="52"/>
      <c r="D73" s="1"/>
      <c r="E73" s="1"/>
      <c r="F73" s="1"/>
      <c r="G73" s="1"/>
      <c r="H73" s="10"/>
    </row>
    <row r="74" spans="1:8" x14ac:dyDescent="0.2">
      <c r="A74" s="98"/>
      <c r="B74" s="52"/>
      <c r="C74" s="52"/>
      <c r="D74" s="1"/>
      <c r="E74" s="1"/>
      <c r="F74" s="1"/>
      <c r="G74" s="1"/>
      <c r="H74" s="10"/>
    </row>
    <row r="75" spans="1:8" x14ac:dyDescent="0.2">
      <c r="A75" s="98"/>
      <c r="B75" s="52"/>
      <c r="C75" s="52"/>
      <c r="D75" s="1"/>
      <c r="E75" s="1"/>
      <c r="F75" s="1"/>
      <c r="G75" s="1"/>
      <c r="H75" s="10"/>
    </row>
    <row r="76" spans="1:8" x14ac:dyDescent="0.2">
      <c r="A76" s="98"/>
      <c r="B76" s="52"/>
      <c r="C76" s="52"/>
      <c r="D76" s="1"/>
      <c r="E76" s="1"/>
      <c r="F76" s="1"/>
      <c r="G76" s="1"/>
      <c r="H76" s="10"/>
    </row>
    <row r="77" spans="1:8" x14ac:dyDescent="0.2">
      <c r="A77" s="98"/>
      <c r="B77" s="52"/>
      <c r="C77" s="52"/>
      <c r="D77" s="1"/>
      <c r="E77" s="1"/>
      <c r="F77" s="1"/>
      <c r="G77" s="1"/>
      <c r="H77" s="10"/>
    </row>
    <row r="78" spans="1:8" x14ac:dyDescent="0.2">
      <c r="A78" s="99" t="s">
        <v>55</v>
      </c>
      <c r="B78" s="64">
        <f>SUM(B61-B62-B63+B64-B65-B66-B67-B68-B69-B70)</f>
        <v>248439.43999999994</v>
      </c>
      <c r="C78" s="64">
        <f>SUM(C61-C62-C63+C64-C65-C66-C67-C68-C69-C70)</f>
        <v>413705.04000000004</v>
      </c>
      <c r="D78" s="1"/>
      <c r="E78" s="1"/>
      <c r="F78" s="1"/>
      <c r="G78" s="1"/>
      <c r="H78" s="10"/>
    </row>
    <row r="79" spans="1:8" x14ac:dyDescent="0.2">
      <c r="A79" s="38" t="s">
        <v>56</v>
      </c>
      <c r="B79" s="52"/>
      <c r="C79" s="52"/>
      <c r="D79" s="1"/>
      <c r="E79" s="1"/>
      <c r="F79" s="1"/>
      <c r="G79" s="1"/>
      <c r="H79" s="10"/>
    </row>
    <row r="80" spans="1:8" x14ac:dyDescent="0.2">
      <c r="A80" s="40" t="s">
        <v>57</v>
      </c>
      <c r="B80" s="101">
        <v>1685738.56</v>
      </c>
      <c r="C80" s="101">
        <v>994800.72</v>
      </c>
      <c r="D80" s="1"/>
      <c r="E80" s="1"/>
      <c r="F80" s="1"/>
      <c r="G80" s="1"/>
      <c r="H80" s="10"/>
    </row>
    <row r="81" spans="1:8" x14ac:dyDescent="0.2">
      <c r="A81" s="40" t="s">
        <v>58</v>
      </c>
      <c r="B81" s="101">
        <v>1987503.14</v>
      </c>
      <c r="C81" s="101">
        <v>1773273.74</v>
      </c>
      <c r="D81" s="1"/>
      <c r="E81" s="1"/>
      <c r="F81" s="1"/>
      <c r="G81" s="1"/>
      <c r="H81" s="10"/>
    </row>
    <row r="82" spans="1:8" x14ac:dyDescent="0.2">
      <c r="A82" s="40" t="s">
        <v>59</v>
      </c>
      <c r="B82" s="101">
        <v>1552661.76</v>
      </c>
      <c r="C82" s="101">
        <v>1551938.62</v>
      </c>
      <c r="D82" s="1"/>
      <c r="E82" s="1"/>
      <c r="F82" s="1"/>
      <c r="G82" s="1"/>
      <c r="H82" s="10"/>
    </row>
    <row r="83" spans="1:8" ht="17.25" x14ac:dyDescent="0.35">
      <c r="A83" s="42" t="s">
        <v>60</v>
      </c>
      <c r="B83" s="65">
        <f>SUM(B80:B82)</f>
        <v>5225903.46</v>
      </c>
      <c r="C83" s="65">
        <f>SUM(C80:C82)</f>
        <v>4320013.08</v>
      </c>
      <c r="D83" s="1"/>
      <c r="E83" s="1"/>
      <c r="F83" s="1"/>
      <c r="G83" s="1"/>
      <c r="H83" s="10"/>
    </row>
    <row r="84" spans="1:8" x14ac:dyDescent="0.2">
      <c r="A84" s="87"/>
      <c r="B84" s="12"/>
      <c r="C84" s="12"/>
      <c r="D84" s="1"/>
      <c r="E84" s="1"/>
      <c r="F84" s="1"/>
      <c r="G84" s="1"/>
      <c r="H84" s="10"/>
    </row>
  </sheetData>
  <mergeCells count="3">
    <mergeCell ref="A2:H2"/>
    <mergeCell ref="A3:H3"/>
    <mergeCell ref="A56:H5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56" workbookViewId="0">
      <selection activeCell="G72" sqref="G72"/>
    </sheetView>
  </sheetViews>
  <sheetFormatPr defaultRowHeight="15" x14ac:dyDescent="0.2"/>
  <cols>
    <col min="1" max="1" width="24.77734375" bestFit="1" customWidth="1"/>
    <col min="2" max="2" width="11.5546875" bestFit="1" customWidth="1"/>
    <col min="3" max="3" width="10.77734375" bestFit="1" customWidth="1"/>
    <col min="4" max="4" width="9.44140625" bestFit="1" customWidth="1"/>
    <col min="5" max="5" width="17.88671875" bestFit="1" customWidth="1"/>
    <col min="7" max="7" width="11.5546875" bestFit="1" customWidth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6.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6.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42675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2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9924964.9299999997</v>
      </c>
      <c r="C11" s="44">
        <v>242634.39</v>
      </c>
      <c r="D11" s="44">
        <v>0</v>
      </c>
      <c r="E11" s="44">
        <f>SUM(C11+'Oct 2016 '!E11)</f>
        <v>3450025.0700000003</v>
      </c>
      <c r="F11" s="45"/>
      <c r="G11" s="44">
        <f>B11-E11</f>
        <v>6474939.8599999994</v>
      </c>
      <c r="H11" s="46">
        <f>E11/B11</f>
        <v>0.34761080712453463</v>
      </c>
    </row>
    <row r="12" spans="1:8" x14ac:dyDescent="0.2">
      <c r="A12" s="20" t="s">
        <v>18</v>
      </c>
      <c r="B12" s="51">
        <v>-10021036.48</v>
      </c>
      <c r="C12" s="21">
        <v>-774845.79</v>
      </c>
      <c r="D12" s="21">
        <v>-22996.44</v>
      </c>
      <c r="E12" s="21">
        <f>SUM(C12+D12+'Oct 2016 '!E12-'Oct 2016 '!D12)</f>
        <v>-3166463.6100000003</v>
      </c>
      <c r="F12" s="7"/>
      <c r="G12" s="21">
        <f>B12-E12</f>
        <v>-6854572.8700000001</v>
      </c>
      <c r="H12" s="26">
        <f>E12/B12</f>
        <v>0.3159816468405871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46899.27</v>
      </c>
      <c r="D15" s="44">
        <v>0</v>
      </c>
      <c r="E15" s="44">
        <f>SUM(C15+'Oct 2016 '!E15)</f>
        <v>125872.59</v>
      </c>
      <c r="F15" s="45"/>
      <c r="G15" s="44">
        <f>B15-E15</f>
        <v>289603.41000000003</v>
      </c>
      <c r="H15" s="46">
        <f>E15/B15</f>
        <v>0.30295995436559514</v>
      </c>
    </row>
    <row r="16" spans="1:8" x14ac:dyDescent="0.2">
      <c r="A16" s="20" t="s">
        <v>18</v>
      </c>
      <c r="B16" s="51">
        <v>-502234</v>
      </c>
      <c r="C16" s="21">
        <v>-48812.42</v>
      </c>
      <c r="D16" s="21">
        <v>0</v>
      </c>
      <c r="E16" s="21">
        <f>SUM(C16+'Oct 2016 '!E16)</f>
        <v>-135056.03</v>
      </c>
      <c r="F16" s="7"/>
      <c r="G16" s="21">
        <f>B16-E16</f>
        <v>-367177.97</v>
      </c>
      <c r="H16" s="26">
        <f>E16/B16</f>
        <v>0.26891056758403453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247729</v>
      </c>
      <c r="C19" s="44">
        <v>7090</v>
      </c>
      <c r="D19" s="44">
        <v>0</v>
      </c>
      <c r="E19" s="44">
        <f>SUM(C19+'Oct 2016 '!E19)</f>
        <v>41589.86</v>
      </c>
      <c r="F19" s="45"/>
      <c r="G19" s="44">
        <f>B19-E19</f>
        <v>206139.14</v>
      </c>
      <c r="H19" s="46">
        <f>E19/B19</f>
        <v>0.16788450282365003</v>
      </c>
    </row>
    <row r="20" spans="1:8" x14ac:dyDescent="0.2">
      <c r="A20" s="20" t="s">
        <v>18</v>
      </c>
      <c r="B20" s="51">
        <v>-222565.5</v>
      </c>
      <c r="C20" s="21">
        <v>-34244.36</v>
      </c>
      <c r="D20" s="21">
        <v>0</v>
      </c>
      <c r="E20" s="21">
        <f>SUM(C20+D20+'Oct 2016 '!E20)</f>
        <v>-153243.07</v>
      </c>
      <c r="F20" s="7"/>
      <c r="G20" s="21">
        <f>B20-E20</f>
        <v>-69322.429999999993</v>
      </c>
      <c r="H20" s="26">
        <f>E20/B20</f>
        <v>0.68853020796125186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1321.24</v>
      </c>
      <c r="D23" s="44">
        <v>0</v>
      </c>
      <c r="E23" s="44">
        <f>SUM(C23+'Oct 2016 '!E23)</f>
        <v>14892.87</v>
      </c>
      <c r="F23" s="45"/>
      <c r="G23" s="44">
        <f>SUM(B23-E23)</f>
        <v>-14892.87</v>
      </c>
      <c r="H23" s="46" t="e">
        <f>SUM(E23/B23)</f>
        <v>#DIV/0!</v>
      </c>
    </row>
    <row r="24" spans="1:8" x14ac:dyDescent="0.2">
      <c r="A24" s="20" t="s">
        <v>18</v>
      </c>
      <c r="B24" s="51">
        <v>-3443336</v>
      </c>
      <c r="C24" s="21">
        <v>-15562.56</v>
      </c>
      <c r="D24" s="21">
        <v>0</v>
      </c>
      <c r="E24" s="21">
        <f>SUM(C24+'Oct 2016 '!E24)</f>
        <v>-2796980.9299999997</v>
      </c>
      <c r="F24" s="7"/>
      <c r="G24" s="21">
        <f>SUM(B24-E24)</f>
        <v>-646355.0700000003</v>
      </c>
      <c r="H24" s="26">
        <f>SUM(E24/B24)</f>
        <v>0.81228812117086446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2058453</v>
      </c>
      <c r="C27" s="49">
        <v>2242.16</v>
      </c>
      <c r="D27" s="49">
        <v>0</v>
      </c>
      <c r="E27" s="44">
        <f>SUM(C27+'Oct 2016 '!E27)</f>
        <v>36023.339999999997</v>
      </c>
      <c r="F27" s="50"/>
      <c r="G27" s="44">
        <f>B27-E27</f>
        <v>2022429.66</v>
      </c>
      <c r="H27" s="46">
        <f>E27/B27</f>
        <v>1.7500200393207908E-2</v>
      </c>
    </row>
    <row r="28" spans="1:8" x14ac:dyDescent="0.2">
      <c r="A28" s="20" t="s">
        <v>18</v>
      </c>
      <c r="B28" s="41">
        <v>-1943087</v>
      </c>
      <c r="C28" s="22">
        <v>0</v>
      </c>
      <c r="D28" s="22">
        <v>0</v>
      </c>
      <c r="E28" s="21">
        <f>SUM(C28+'Oct 2016 '!E28)</f>
        <v>-461644.99</v>
      </c>
      <c r="F28" s="8"/>
      <c r="G28" s="21">
        <f>B28-E28</f>
        <v>-1481442.01</v>
      </c>
      <c r="H28" s="26">
        <f>E28/B28</f>
        <v>0.23758328371297838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1510</v>
      </c>
      <c r="D31" s="49">
        <v>0</v>
      </c>
      <c r="E31" s="44">
        <f>SUM(C31+'Oct 2016 '!E31)</f>
        <v>1695</v>
      </c>
      <c r="F31" s="50"/>
      <c r="G31" s="44">
        <f>B31-E31</f>
        <v>9105</v>
      </c>
      <c r="H31" s="46">
        <f>E31/B31</f>
        <v>0.15694444444444444</v>
      </c>
    </row>
    <row r="32" spans="1:8" x14ac:dyDescent="0.2">
      <c r="A32" s="20" t="s">
        <v>18</v>
      </c>
      <c r="B32" s="41">
        <v>-10800</v>
      </c>
      <c r="C32" s="22">
        <v>-1500</v>
      </c>
      <c r="D32" s="22">
        <v>0</v>
      </c>
      <c r="E32" s="21">
        <f>SUM(C32+'Oct 2016 '!E32)</f>
        <v>-2838.94</v>
      </c>
      <c r="F32" s="8"/>
      <c r="G32" s="21">
        <f>B32-E32</f>
        <v>-7961.0599999999995</v>
      </c>
      <c r="H32" s="26">
        <f>E32/B32</f>
        <v>0.26286481481481483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26374</v>
      </c>
      <c r="C35" s="49">
        <v>0</v>
      </c>
      <c r="D35" s="49">
        <v>0</v>
      </c>
      <c r="E35" s="44">
        <f>SUM(C35+D35+'July 2016'!E35)</f>
        <v>0.01</v>
      </c>
      <c r="F35" s="50"/>
      <c r="G35" s="44">
        <f>B35-E35</f>
        <v>26373.99</v>
      </c>
      <c r="H35" s="46">
        <f>E35/B35</f>
        <v>3.7916129521498448E-7</v>
      </c>
    </row>
    <row r="36" spans="1:8" x14ac:dyDescent="0.2">
      <c r="A36" s="20" t="s">
        <v>18</v>
      </c>
      <c r="B36" s="41">
        <v>-11374</v>
      </c>
      <c r="C36" s="22">
        <v>-947.77</v>
      </c>
      <c r="D36" s="22">
        <v>0</v>
      </c>
      <c r="E36" s="21">
        <f>SUM(C36+'Oct 2016 '!E36)</f>
        <v>-2843.33</v>
      </c>
      <c r="F36" s="8"/>
      <c r="G36" s="21">
        <f>B36-E36</f>
        <v>-8530.67</v>
      </c>
      <c r="H36" s="26">
        <f>E36/B36</f>
        <v>0.24998505363108844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9113</v>
      </c>
      <c r="D39" s="49">
        <v>0</v>
      </c>
      <c r="E39" s="44">
        <f>SUM(C39+'Oct 2016 '!E39)</f>
        <v>42765.19</v>
      </c>
      <c r="F39" s="50"/>
      <c r="G39" s="44">
        <f>B39-E39</f>
        <v>53040.179999999993</v>
      </c>
      <c r="H39" s="46">
        <f>E39/B39</f>
        <v>0.44637570942004612</v>
      </c>
    </row>
    <row r="40" spans="1:8" x14ac:dyDescent="0.2">
      <c r="A40" s="20" t="s">
        <v>18</v>
      </c>
      <c r="B40" s="41">
        <v>-95805.37</v>
      </c>
      <c r="C40" s="22">
        <v>-12664.2</v>
      </c>
      <c r="D40" s="22">
        <v>0</v>
      </c>
      <c r="E40" s="21">
        <f>SUM(C40+'Oct 2016 '!E40-'Oct 2016 '!D40)</f>
        <v>-47689.83</v>
      </c>
      <c r="F40" s="8"/>
      <c r="G40" s="21">
        <f>B40-E40</f>
        <v>-48115.539999999994</v>
      </c>
      <c r="H40" s="26">
        <f>E40/B40</f>
        <v>0.49777825606226461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31.69</v>
      </c>
      <c r="D43" s="49">
        <v>0</v>
      </c>
      <c r="E43" s="44">
        <f>SUM(C43+'Oct 2016 '!E43)</f>
        <v>808.59000000000015</v>
      </c>
      <c r="F43" s="50"/>
      <c r="G43" s="44">
        <f>B43-E43</f>
        <v>5891.41</v>
      </c>
      <c r="H43" s="46">
        <f>E43/B43</f>
        <v>0.12068507462686569</v>
      </c>
    </row>
    <row r="44" spans="1:8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SUM(C44+'Oct 2016 '!E44)</f>
        <v>0</v>
      </c>
      <c r="F44" s="8"/>
      <c r="G44" s="21">
        <f>B44-E44</f>
        <v>-57095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133973</v>
      </c>
      <c r="C47" s="49">
        <v>0</v>
      </c>
      <c r="D47" s="49">
        <v>0</v>
      </c>
      <c r="E47" s="44">
        <f>SUM(C47+'Sept 2016'!E47)</f>
        <v>-3546.36</v>
      </c>
      <c r="F47" s="50"/>
      <c r="G47" s="44">
        <f>B47-E47</f>
        <v>137519.35999999999</v>
      </c>
      <c r="H47" s="46">
        <f>E47/B47</f>
        <v>-2.647070678420279E-2</v>
      </c>
    </row>
    <row r="48" spans="1:8" x14ac:dyDescent="0.2">
      <c r="A48" s="20" t="s">
        <v>18</v>
      </c>
      <c r="B48" s="41">
        <v>-133487</v>
      </c>
      <c r="C48" s="22">
        <v>0</v>
      </c>
      <c r="D48" s="22">
        <v>0</v>
      </c>
      <c r="E48" s="21">
        <f>SUM(C48+'Oct 2016 '!E48)</f>
        <v>-11743.75</v>
      </c>
      <c r="F48" s="8"/>
      <c r="G48" s="21">
        <f>B48-E48</f>
        <v>-121743.25</v>
      </c>
      <c r="H48" s="26">
        <f>E48/B48</f>
        <v>8.7976731816581388E-2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SUM(B11+B15+B19+B27+B31+B35+B39+B43+B47+B23)</f>
        <v>12920275.299999999</v>
      </c>
      <c r="C51" s="49">
        <f>SUM(C11+C15+C19+C27+C35+C39+C31+C43+C47+C23)</f>
        <v>310841.75</v>
      </c>
      <c r="D51" s="49">
        <f>SUM(D11+D15+D19+D27+D31+D35+D39+D43+D47)</f>
        <v>0</v>
      </c>
      <c r="E51" s="49">
        <f>E11+E15+E19+E27+E31+E49+E35+E39+E43+E47+E23</f>
        <v>3710126.1599999997</v>
      </c>
      <c r="F51" s="50"/>
      <c r="G51" s="49">
        <f>G11+G15+G19+G27+G31+G49+G35+G23+G39+G43+G47</f>
        <v>9210149.1399999987</v>
      </c>
      <c r="H51" s="46">
        <f>E51/B51</f>
        <v>0.28715534877186399</v>
      </c>
    </row>
    <row r="52" spans="1:8" x14ac:dyDescent="0.2">
      <c r="A52" s="24" t="s">
        <v>29</v>
      </c>
      <c r="B52" s="41">
        <f>SUM(B12+B16+B20+B28+B32+B36+B40+B44+B48+B24)</f>
        <v>-16440820.35</v>
      </c>
      <c r="C52" s="22">
        <f>C12+C16+C20+C28+C32+C50+C36++C24+C40+C44+C48</f>
        <v>-888577.10000000009</v>
      </c>
      <c r="D52" s="22">
        <f>SUM(D48+D44+D40+D36+D32+D28+D24+D20+D16+D12)</f>
        <v>-22996.44</v>
      </c>
      <c r="E52" s="22">
        <f>E12+E16+E20+E28+E32+E50+E36+E24+E40+E44+E48</f>
        <v>-6778504.4800000004</v>
      </c>
      <c r="F52" s="8"/>
      <c r="G52" s="22">
        <f>G12+G16+G20+G28+G32+G50+G36+G24+G40+G44+G48</f>
        <v>-9662315.8699999992</v>
      </c>
      <c r="H52" s="26">
        <f>E52/B52</f>
        <v>0.41229721727358942</v>
      </c>
    </row>
    <row r="53" spans="1:8" x14ac:dyDescent="0.2">
      <c r="A53" s="2" t="s">
        <v>30</v>
      </c>
      <c r="B53" s="1"/>
      <c r="C53" s="1"/>
      <c r="D53" s="1"/>
      <c r="E53" s="1"/>
      <c r="F53" s="1"/>
      <c r="G53" s="1"/>
      <c r="H53" s="10"/>
    </row>
    <row r="54" spans="1:8" x14ac:dyDescent="0.2">
      <c r="A54" s="1"/>
      <c r="B54" s="1"/>
      <c r="C54" s="1"/>
      <c r="D54" s="1"/>
      <c r="E54" s="1"/>
      <c r="F54" s="1"/>
      <c r="G54" s="1"/>
      <c r="H54" s="10"/>
    </row>
    <row r="55" spans="1:8" x14ac:dyDescent="0.2">
      <c r="A55" s="1"/>
      <c r="B55" s="1"/>
      <c r="C55" s="1"/>
      <c r="D55" s="1"/>
      <c r="E55" s="1"/>
      <c r="F55" s="1"/>
      <c r="G55" s="1"/>
    </row>
    <row r="56" spans="1:8" ht="16.5" x14ac:dyDescent="0.3">
      <c r="A56" s="105"/>
      <c r="B56" s="105"/>
      <c r="C56" s="105"/>
      <c r="D56" s="105"/>
      <c r="E56" s="105"/>
      <c r="F56" s="105"/>
      <c r="G56" s="105"/>
      <c r="H56" s="105"/>
    </row>
    <row r="57" spans="1:8" x14ac:dyDescent="0.2">
      <c r="A57" s="2" t="s">
        <v>30</v>
      </c>
      <c r="B57" s="1"/>
      <c r="C57" s="1"/>
      <c r="D57" s="1"/>
      <c r="E57" s="1"/>
      <c r="F57" s="1"/>
      <c r="G57" s="1"/>
      <c r="H57" s="10"/>
    </row>
    <row r="58" spans="1:8" x14ac:dyDescent="0.2">
      <c r="A58" s="1"/>
      <c r="B58" s="1"/>
      <c r="C58" s="1"/>
      <c r="D58" s="1"/>
      <c r="E58" s="1"/>
      <c r="F58" s="1"/>
      <c r="G58" s="1"/>
      <c r="H58" s="10"/>
    </row>
    <row r="59" spans="1:8" x14ac:dyDescent="0.2">
      <c r="A59" s="96"/>
      <c r="B59" s="39" t="s">
        <v>11</v>
      </c>
      <c r="C59" s="39" t="s">
        <v>67</v>
      </c>
      <c r="D59" s="1"/>
      <c r="E59" s="1"/>
      <c r="F59" s="3"/>
      <c r="G59" s="3"/>
      <c r="H59" s="9"/>
    </row>
    <row r="60" spans="1:8" ht="15.75" x14ac:dyDescent="0.25">
      <c r="A60" s="96" t="s">
        <v>32</v>
      </c>
      <c r="B60" s="39" t="s">
        <v>33</v>
      </c>
      <c r="C60" s="39" t="s">
        <v>33</v>
      </c>
      <c r="D60" s="1"/>
      <c r="E60" s="54" t="s">
        <v>34</v>
      </c>
      <c r="F60" s="1"/>
      <c r="G60" s="54" t="s">
        <v>35</v>
      </c>
      <c r="H60" s="9"/>
    </row>
    <row r="61" spans="1:8" ht="15.75" x14ac:dyDescent="0.25">
      <c r="A61" s="97" t="s">
        <v>36</v>
      </c>
      <c r="B61" s="52">
        <v>309911.36</v>
      </c>
      <c r="C61" s="52">
        <v>340657.8</v>
      </c>
      <c r="D61" s="6"/>
      <c r="E61" s="55" t="s">
        <v>37</v>
      </c>
      <c r="F61" s="1"/>
      <c r="G61" s="90">
        <v>16388.810000000001</v>
      </c>
      <c r="H61" s="11"/>
    </row>
    <row r="62" spans="1:8" ht="15.75" x14ac:dyDescent="0.25">
      <c r="A62" s="97" t="s">
        <v>38</v>
      </c>
      <c r="B62" s="52">
        <v>67290.789999999994</v>
      </c>
      <c r="C62" s="52">
        <v>79463.58</v>
      </c>
      <c r="D62" s="6"/>
      <c r="E62" s="55" t="s">
        <v>39</v>
      </c>
      <c r="F62" s="1"/>
      <c r="G62" s="90">
        <v>17103.13</v>
      </c>
      <c r="H62" s="11"/>
    </row>
    <row r="63" spans="1:8" ht="15.75" x14ac:dyDescent="0.25">
      <c r="A63" s="97" t="s">
        <v>40</v>
      </c>
      <c r="B63" s="52">
        <v>5579.11</v>
      </c>
      <c r="C63" s="52">
        <v>1289.4000000000001</v>
      </c>
      <c r="D63" s="8"/>
      <c r="E63" s="55" t="s">
        <v>41</v>
      </c>
      <c r="F63" s="1"/>
      <c r="G63" s="90">
        <v>316660.09999999998</v>
      </c>
      <c r="H63" s="11"/>
    </row>
    <row r="64" spans="1:8" ht="15.7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F64" s="1"/>
      <c r="G64" s="90">
        <v>122160.55</v>
      </c>
      <c r="H64" s="11"/>
    </row>
    <row r="65" spans="1:8" ht="15.75" x14ac:dyDescent="0.25">
      <c r="A65" s="97" t="s">
        <v>44</v>
      </c>
      <c r="B65" s="52">
        <v>8509.2900000000009</v>
      </c>
      <c r="C65" s="52">
        <v>8406.66</v>
      </c>
      <c r="D65" s="8"/>
      <c r="E65" s="55" t="s">
        <v>45</v>
      </c>
      <c r="F65" s="1"/>
      <c r="G65" s="90">
        <v>18238.8</v>
      </c>
      <c r="H65" s="10"/>
    </row>
    <row r="66" spans="1:8" ht="15.75" x14ac:dyDescent="0.25">
      <c r="A66" s="98" t="s">
        <v>46</v>
      </c>
      <c r="B66" s="52"/>
      <c r="C66" s="52"/>
      <c r="D66" s="8"/>
      <c r="E66" s="55" t="s">
        <v>47</v>
      </c>
      <c r="F66" s="1"/>
      <c r="G66" s="90">
        <v>63874.78</v>
      </c>
      <c r="H66" s="11"/>
    </row>
    <row r="67" spans="1:8" ht="15.75" x14ac:dyDescent="0.25">
      <c r="A67" s="97" t="s">
        <v>48</v>
      </c>
      <c r="B67" s="52">
        <v>8230.09</v>
      </c>
      <c r="C67" s="52">
        <v>8158.72</v>
      </c>
      <c r="D67" s="8"/>
      <c r="E67" s="55" t="s">
        <v>51</v>
      </c>
      <c r="F67" s="1"/>
      <c r="G67" s="90">
        <v>78.900000000000006</v>
      </c>
      <c r="H67" s="11"/>
    </row>
    <row r="68" spans="1:8" ht="15.75" x14ac:dyDescent="0.25">
      <c r="A68" s="98" t="s">
        <v>85</v>
      </c>
      <c r="B68" s="52"/>
      <c r="C68" s="52"/>
      <c r="D68" s="8"/>
      <c r="E68" s="55" t="s">
        <v>83</v>
      </c>
      <c r="F68" s="1"/>
      <c r="G68" s="68">
        <v>7339.5</v>
      </c>
      <c r="H68" s="10"/>
    </row>
    <row r="69" spans="1:8" x14ac:dyDescent="0.2">
      <c r="A69" s="98" t="s">
        <v>86</v>
      </c>
      <c r="B69" s="52">
        <v>0.01</v>
      </c>
      <c r="C69" s="52"/>
      <c r="D69" s="8"/>
      <c r="E69" s="93" t="s">
        <v>65</v>
      </c>
      <c r="F69" s="1"/>
      <c r="G69" s="56"/>
      <c r="H69" s="11"/>
    </row>
    <row r="70" spans="1:8" ht="15.75" x14ac:dyDescent="0.25">
      <c r="A70" s="98" t="s">
        <v>87</v>
      </c>
      <c r="B70" s="52"/>
      <c r="C70" s="52"/>
      <c r="D70" s="8"/>
      <c r="E70" s="55" t="s">
        <v>89</v>
      </c>
      <c r="F70" s="1"/>
      <c r="G70" s="68">
        <v>3302.64</v>
      </c>
      <c r="H70" s="10"/>
    </row>
    <row r="71" spans="1:8" ht="15.75" x14ac:dyDescent="0.25">
      <c r="A71" s="98"/>
      <c r="B71" s="52"/>
      <c r="C71" s="52"/>
      <c r="D71" s="8"/>
      <c r="E71" s="55"/>
      <c r="F71" s="1"/>
      <c r="G71" s="68"/>
      <c r="H71" s="10"/>
    </row>
    <row r="72" spans="1:8" ht="16.5" thickBot="1" x14ac:dyDescent="0.3">
      <c r="A72" s="98"/>
      <c r="B72" s="52"/>
      <c r="C72" s="52"/>
      <c r="D72" s="1"/>
      <c r="F72" s="1"/>
      <c r="G72" s="57">
        <f>SUM(G61:G71)</f>
        <v>565147.21</v>
      </c>
      <c r="H72" s="10"/>
    </row>
    <row r="73" spans="1:8" ht="15.75" thickTop="1" x14ac:dyDescent="0.2">
      <c r="A73" s="98"/>
      <c r="B73" s="52"/>
      <c r="C73" s="52"/>
      <c r="D73" s="1"/>
      <c r="E73" s="1"/>
      <c r="F73" s="1"/>
      <c r="G73" s="1"/>
      <c r="H73" s="10"/>
    </row>
    <row r="74" spans="1:8" x14ac:dyDescent="0.2">
      <c r="A74" s="98"/>
      <c r="B74" s="52"/>
      <c r="C74" s="52"/>
      <c r="D74" s="1"/>
      <c r="E74" s="1"/>
      <c r="F74" s="1"/>
      <c r="G74" s="1"/>
      <c r="H74" s="10"/>
    </row>
    <row r="75" spans="1:8" x14ac:dyDescent="0.2">
      <c r="A75" s="98"/>
      <c r="B75" s="52"/>
      <c r="C75" s="52"/>
      <c r="D75" s="1"/>
      <c r="E75" s="1"/>
      <c r="F75" s="1"/>
      <c r="G75" s="1"/>
      <c r="H75" s="10"/>
    </row>
    <row r="76" spans="1:8" x14ac:dyDescent="0.2">
      <c r="A76" s="98"/>
      <c r="B76" s="52"/>
      <c r="C76" s="52"/>
      <c r="D76" s="1"/>
      <c r="E76" s="1"/>
      <c r="F76" s="1"/>
      <c r="G76" s="1"/>
      <c r="H76" s="10"/>
    </row>
    <row r="77" spans="1:8" x14ac:dyDescent="0.2">
      <c r="A77" s="98"/>
      <c r="B77" s="52"/>
      <c r="C77" s="52"/>
      <c r="D77" s="1"/>
      <c r="E77" s="1"/>
      <c r="F77" s="1"/>
      <c r="G77" s="1"/>
      <c r="H77" s="10"/>
    </row>
    <row r="78" spans="1:8" x14ac:dyDescent="0.2">
      <c r="A78" s="99" t="s">
        <v>55</v>
      </c>
      <c r="B78" s="64">
        <f>SUM(B61-B62-B63+B64-B65-B66-B67-B68-B69-B70)</f>
        <v>225402.07</v>
      </c>
      <c r="C78" s="64">
        <f>SUM(C61-C62-C63+C64-C65-C66-C67-C68-C69-C70)</f>
        <v>248439.43999999994</v>
      </c>
      <c r="D78" s="1"/>
      <c r="E78" s="1"/>
      <c r="F78" s="1"/>
      <c r="G78" s="1"/>
      <c r="H78" s="10"/>
    </row>
    <row r="79" spans="1:8" x14ac:dyDescent="0.2">
      <c r="A79" s="38" t="s">
        <v>56</v>
      </c>
      <c r="B79" s="52"/>
      <c r="C79" s="52"/>
      <c r="D79" s="1"/>
      <c r="E79" s="1"/>
      <c r="F79" s="1"/>
      <c r="G79" s="1"/>
      <c r="H79" s="10"/>
    </row>
    <row r="80" spans="1:8" x14ac:dyDescent="0.2">
      <c r="A80" s="40" t="s">
        <v>57</v>
      </c>
      <c r="B80" s="101">
        <v>1030455.7</v>
      </c>
      <c r="C80" s="101">
        <v>1685738.56</v>
      </c>
      <c r="D80" s="1"/>
      <c r="E80" s="1"/>
      <c r="F80" s="1"/>
      <c r="G80" s="1"/>
      <c r="H80" s="10"/>
    </row>
    <row r="81" spans="1:8" x14ac:dyDescent="0.2">
      <c r="A81" s="40" t="s">
        <v>58</v>
      </c>
      <c r="B81" s="101">
        <v>2106499.1800000002</v>
      </c>
      <c r="C81" s="101">
        <v>1987503.14</v>
      </c>
      <c r="D81" s="1"/>
      <c r="E81" s="1"/>
      <c r="F81" s="1"/>
      <c r="G81" s="1"/>
      <c r="H81" s="10"/>
    </row>
    <row r="82" spans="1:8" x14ac:dyDescent="0.2">
      <c r="A82" s="40" t="s">
        <v>59</v>
      </c>
      <c r="B82" s="101">
        <v>1460997.19</v>
      </c>
      <c r="C82" s="101">
        <v>1552661.76</v>
      </c>
      <c r="D82" s="1"/>
      <c r="E82" s="1"/>
      <c r="F82" s="1"/>
      <c r="G82" s="1"/>
      <c r="H82" s="10"/>
    </row>
    <row r="83" spans="1:8" ht="17.25" x14ac:dyDescent="0.35">
      <c r="A83" s="42" t="s">
        <v>60</v>
      </c>
      <c r="B83" s="65">
        <f>SUM(B80:B82)</f>
        <v>4597952.07</v>
      </c>
      <c r="C83" s="65">
        <f>SUM(C80:C82)</f>
        <v>5225903.46</v>
      </c>
      <c r="D83" s="1"/>
      <c r="E83" s="1"/>
      <c r="F83" s="1"/>
      <c r="G83" s="1"/>
      <c r="H83" s="10"/>
    </row>
    <row r="84" spans="1:8" x14ac:dyDescent="0.2">
      <c r="A84" s="87"/>
      <c r="B84" s="12"/>
      <c r="C84" s="12"/>
      <c r="D84" s="1"/>
      <c r="E84" s="1"/>
      <c r="F84" s="1"/>
      <c r="G84" s="1"/>
      <c r="H84" s="10"/>
    </row>
  </sheetData>
  <mergeCells count="3">
    <mergeCell ref="A2:H2"/>
    <mergeCell ref="A3:H3"/>
    <mergeCell ref="A56:H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7"/>
  <sheetViews>
    <sheetView defaultGridColor="0" colorId="22" zoomScaleNormal="100" zoomScaleSheetLayoutView="75" workbookViewId="0">
      <selection activeCell="G54" sqref="G54"/>
    </sheetView>
  </sheetViews>
  <sheetFormatPr defaultColWidth="11.44140625" defaultRowHeight="1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9" width="11.44140625" style="60" customWidth="1"/>
    <col min="10" max="10" width="12" style="60" bestFit="1" customWidth="1"/>
    <col min="11" max="12" width="13.77734375" style="60" customWidth="1"/>
    <col min="13" max="13" width="15.77734375" style="60" customWidth="1"/>
    <col min="14" max="14" width="15.77734375" style="30" customWidth="1"/>
    <col min="15" max="17" width="13.77734375" style="30" customWidth="1"/>
    <col min="18" max="16384" width="11.44140625" style="30"/>
  </cols>
  <sheetData>
    <row r="1" spans="1:13" s="28" customFormat="1" x14ac:dyDescent="0.2">
      <c r="A1" s="5"/>
      <c r="B1" s="12"/>
      <c r="C1" s="12"/>
      <c r="D1" s="12"/>
      <c r="E1" s="12"/>
      <c r="F1" s="12"/>
      <c r="G1" s="12"/>
      <c r="H1" s="13"/>
      <c r="I1" s="59"/>
      <c r="J1" s="59"/>
      <c r="K1" s="59"/>
      <c r="L1" s="59"/>
      <c r="M1" s="59"/>
    </row>
    <row r="2" spans="1:13" s="29" customFormat="1" ht="16.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9"/>
      <c r="J2" s="59"/>
      <c r="K2" s="59"/>
      <c r="L2" s="59"/>
      <c r="M2" s="59"/>
    </row>
    <row r="3" spans="1:13" s="29" customFormat="1" ht="16.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9"/>
      <c r="J3" s="59"/>
      <c r="K3" s="59"/>
      <c r="L3" s="59"/>
      <c r="M3" s="59"/>
    </row>
    <row r="4" spans="1:13" s="29" customFormat="1" ht="16.5" x14ac:dyDescent="0.3">
      <c r="A4" s="104"/>
      <c r="B4" s="104"/>
      <c r="C4" s="104"/>
      <c r="D4" s="104"/>
      <c r="E4" s="104"/>
      <c r="F4" s="104"/>
      <c r="G4" s="104"/>
      <c r="H4" s="104"/>
      <c r="I4" s="59"/>
      <c r="J4" s="59"/>
      <c r="K4" s="59"/>
      <c r="L4" s="59"/>
      <c r="M4" s="59"/>
    </row>
    <row r="5" spans="1:13" s="29" customFormat="1" x14ac:dyDescent="0.2">
      <c r="A5" s="5"/>
      <c r="B5" s="5"/>
      <c r="C5" s="5"/>
      <c r="D5" s="5"/>
      <c r="E5" s="5"/>
      <c r="F5" s="5"/>
      <c r="G5" s="5"/>
      <c r="H5" s="14"/>
      <c r="I5" s="59"/>
      <c r="J5" s="59"/>
      <c r="K5" s="59"/>
      <c r="L5" s="59"/>
      <c r="M5" s="59"/>
    </row>
    <row r="6" spans="1:13" s="29" customFormat="1" x14ac:dyDescent="0.2">
      <c r="A6" s="5"/>
      <c r="B6" s="15"/>
      <c r="C6" s="5"/>
      <c r="D6" s="5"/>
      <c r="E6" s="5"/>
      <c r="F6" s="5"/>
      <c r="G6" s="5"/>
      <c r="H6" s="14"/>
      <c r="I6" s="59"/>
      <c r="J6" s="59"/>
      <c r="K6" s="59"/>
      <c r="L6" s="59"/>
      <c r="M6" s="59"/>
    </row>
    <row r="7" spans="1:13" x14ac:dyDescent="0.2">
      <c r="A7" s="102"/>
      <c r="B7" s="5"/>
      <c r="C7" s="5"/>
      <c r="D7" s="5"/>
      <c r="E7" s="5"/>
      <c r="F7" s="5"/>
      <c r="G7" s="16" t="s">
        <v>3</v>
      </c>
      <c r="H7" s="34">
        <v>42217</v>
      </c>
      <c r="I7" s="59"/>
      <c r="J7" s="59"/>
      <c r="K7" s="59"/>
      <c r="L7" s="59"/>
      <c r="M7" s="59"/>
    </row>
    <row r="8" spans="1:13" s="60" customFormat="1" x14ac:dyDescent="0.2">
      <c r="A8" s="17" t="s">
        <v>4</v>
      </c>
      <c r="B8" s="5"/>
      <c r="C8" s="5"/>
      <c r="D8" s="5"/>
      <c r="E8" s="5"/>
      <c r="F8" s="5"/>
      <c r="G8" s="5"/>
      <c r="H8" s="14"/>
      <c r="I8" s="59"/>
      <c r="J8" s="59"/>
      <c r="K8" s="59"/>
      <c r="L8" s="59"/>
      <c r="M8" s="59"/>
    </row>
    <row r="9" spans="1:13" s="60" customFormat="1" x14ac:dyDescent="0.2">
      <c r="A9" s="5"/>
      <c r="B9" s="5"/>
      <c r="C9" s="5"/>
      <c r="D9" s="5"/>
      <c r="E9" s="5"/>
      <c r="F9" s="5"/>
      <c r="G9" s="5"/>
      <c r="H9" s="14"/>
      <c r="I9" s="59"/>
      <c r="J9" s="59"/>
      <c r="K9" s="59"/>
      <c r="L9" s="59"/>
      <c r="M9" s="59"/>
    </row>
    <row r="10" spans="1:13" s="61" customFormat="1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  <c r="I10" s="59"/>
      <c r="J10" s="59"/>
      <c r="K10" s="59"/>
      <c r="L10" s="59"/>
      <c r="M10" s="59"/>
    </row>
    <row r="11" spans="1:13" s="61" customFormat="1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  <c r="I11" s="59"/>
      <c r="J11" s="59"/>
      <c r="K11" s="59"/>
      <c r="L11" s="59"/>
      <c r="M11" s="59"/>
    </row>
    <row r="12" spans="1:13" s="61" customFormat="1" x14ac:dyDescent="0.2">
      <c r="A12" s="20"/>
      <c r="B12" s="20"/>
      <c r="C12" s="20"/>
      <c r="D12" s="20"/>
      <c r="E12" s="20"/>
      <c r="F12" s="5"/>
      <c r="G12" s="20"/>
      <c r="H12" s="26"/>
      <c r="I12" s="59"/>
      <c r="J12" s="59"/>
      <c r="K12" s="59"/>
      <c r="L12" s="59"/>
      <c r="M12" s="59"/>
    </row>
    <row r="13" spans="1:13" s="61" customFormat="1" x14ac:dyDescent="0.2">
      <c r="A13" s="20" t="s">
        <v>16</v>
      </c>
      <c r="B13" s="51"/>
      <c r="C13" s="21"/>
      <c r="D13" s="21"/>
      <c r="E13" s="21"/>
      <c r="F13" s="7"/>
      <c r="G13" s="21"/>
      <c r="H13" s="26"/>
      <c r="I13" s="59"/>
      <c r="J13" s="59"/>
      <c r="K13" s="59"/>
      <c r="L13" s="59"/>
      <c r="M13" s="59"/>
    </row>
    <row r="14" spans="1:13" s="61" customFormat="1" x14ac:dyDescent="0.2">
      <c r="A14" s="43" t="s">
        <v>17</v>
      </c>
      <c r="B14" s="44">
        <v>9372468.9199999999</v>
      </c>
      <c r="C14" s="44">
        <v>1189758.67</v>
      </c>
      <c r="D14" s="44">
        <v>0</v>
      </c>
      <c r="E14" s="44">
        <f>SUM(C14+July!E14)</f>
        <v>4098374.71</v>
      </c>
      <c r="F14" s="45"/>
      <c r="G14" s="44">
        <f>B14-E14</f>
        <v>5274094.21</v>
      </c>
      <c r="H14" s="46">
        <f>E14/B14</f>
        <v>0.43727802620443368</v>
      </c>
      <c r="I14" s="59"/>
      <c r="J14" s="59"/>
      <c r="K14" s="59"/>
      <c r="L14" s="59"/>
      <c r="M14" s="59"/>
    </row>
    <row r="15" spans="1:13" s="61" customFormat="1" x14ac:dyDescent="0.2">
      <c r="A15" s="20" t="s">
        <v>18</v>
      </c>
      <c r="B15" s="51">
        <v>-9201158.3399999999</v>
      </c>
      <c r="C15" s="21">
        <v>-198910.05</v>
      </c>
      <c r="D15" s="21">
        <v>-14792.72</v>
      </c>
      <c r="E15" s="51">
        <f>SUM(C15+D15+July!E15-July!D15)</f>
        <v>-632442.69000000006</v>
      </c>
      <c r="F15" s="7"/>
      <c r="G15" s="21">
        <f>B15-E15</f>
        <v>-8568715.6500000004</v>
      </c>
      <c r="H15" s="26">
        <f>E15/B15</f>
        <v>6.8735116452740025E-2</v>
      </c>
      <c r="I15" s="59"/>
      <c r="J15" s="59"/>
      <c r="K15" s="59"/>
      <c r="L15" s="59"/>
      <c r="M15" s="59"/>
    </row>
    <row r="16" spans="1:13" s="61" customFormat="1" x14ac:dyDescent="0.2">
      <c r="A16" s="20"/>
      <c r="B16" s="40"/>
      <c r="C16" s="21"/>
      <c r="D16" s="21"/>
      <c r="E16" s="51"/>
      <c r="F16" s="7"/>
      <c r="G16" s="21"/>
      <c r="H16" s="26"/>
      <c r="I16" s="59"/>
      <c r="J16" s="59"/>
      <c r="K16" s="59"/>
      <c r="L16" s="59"/>
      <c r="M16" s="59"/>
    </row>
    <row r="17" spans="1:8" s="61" customFormat="1" x14ac:dyDescent="0.2">
      <c r="A17" s="20" t="s">
        <v>19</v>
      </c>
      <c r="B17" s="51"/>
      <c r="C17" s="21"/>
      <c r="D17" s="21"/>
      <c r="E17" s="51"/>
      <c r="F17" s="7"/>
      <c r="G17" s="21"/>
      <c r="H17" s="27"/>
    </row>
    <row r="18" spans="1:8" s="61" customFormat="1" x14ac:dyDescent="0.2">
      <c r="A18" s="43" t="s">
        <v>17</v>
      </c>
      <c r="B18" s="44">
        <v>377050</v>
      </c>
      <c r="C18" s="44">
        <v>529.54999999999995</v>
      </c>
      <c r="D18" s="44">
        <v>0</v>
      </c>
      <c r="E18" s="44">
        <f>SUM(C18+D18+July!E18)</f>
        <v>533.54999999999995</v>
      </c>
      <c r="F18" s="45"/>
      <c r="G18" s="44">
        <f>B18-E18</f>
        <v>376516.45</v>
      </c>
      <c r="H18" s="46">
        <f>E18/B18</f>
        <v>1.4150643150775757E-3</v>
      </c>
    </row>
    <row r="19" spans="1:8" s="61" customFormat="1" x14ac:dyDescent="0.2">
      <c r="A19" s="20" t="s">
        <v>18</v>
      </c>
      <c r="B19" s="51">
        <v>-453158</v>
      </c>
      <c r="C19" s="21">
        <v>-5913.36</v>
      </c>
      <c r="D19" s="21">
        <v>0</v>
      </c>
      <c r="E19" s="51">
        <f>SUM(C19+D19+July!E19-July!D19)</f>
        <v>-10590.21</v>
      </c>
      <c r="F19" s="7"/>
      <c r="G19" s="21">
        <f>B19-E19</f>
        <v>-442567.79</v>
      </c>
      <c r="H19" s="26">
        <f>E19/B19</f>
        <v>2.3369795965204186E-2</v>
      </c>
    </row>
    <row r="20" spans="1:8" s="61" customFormat="1" x14ac:dyDescent="0.2">
      <c r="A20" s="20"/>
      <c r="B20" s="51"/>
      <c r="C20" s="21"/>
      <c r="D20" s="21"/>
      <c r="E20" s="51"/>
      <c r="F20" s="7"/>
      <c r="G20" s="21"/>
      <c r="H20" s="26"/>
    </row>
    <row r="21" spans="1:8" s="61" customFormat="1" x14ac:dyDescent="0.2">
      <c r="A21" s="20" t="s">
        <v>20</v>
      </c>
      <c r="B21" s="51"/>
      <c r="C21" s="21"/>
      <c r="D21" s="21"/>
      <c r="E21" s="51"/>
      <c r="F21" s="7"/>
      <c r="G21" s="21"/>
      <c r="H21" s="26"/>
    </row>
    <row r="22" spans="1:8" s="61" customFormat="1" x14ac:dyDescent="0.2">
      <c r="A22" s="43" t="s">
        <v>17</v>
      </c>
      <c r="B22" s="44">
        <v>223604</v>
      </c>
      <c r="C22" s="44">
        <v>5866.83</v>
      </c>
      <c r="D22" s="44">
        <v>0</v>
      </c>
      <c r="E22" s="44">
        <f>SUM(C22+D22+July!E22)</f>
        <v>-30886.009999999995</v>
      </c>
      <c r="F22" s="45"/>
      <c r="G22" s="44">
        <f>B22-E22</f>
        <v>254490.01</v>
      </c>
      <c r="H22" s="46">
        <f>E22/B22</f>
        <v>-0.1381281640757768</v>
      </c>
    </row>
    <row r="23" spans="1:8" s="61" customFormat="1" x14ac:dyDescent="0.2">
      <c r="A23" s="20" t="s">
        <v>18</v>
      </c>
      <c r="B23" s="51">
        <v>-239333.32</v>
      </c>
      <c r="C23" s="21">
        <v>-38264.22</v>
      </c>
      <c r="D23" s="21">
        <v>0</v>
      </c>
      <c r="E23" s="51">
        <f>SUM(C23+D23+July!E23-July!D23)</f>
        <v>-36757.49</v>
      </c>
      <c r="F23" s="7"/>
      <c r="G23" s="21">
        <f>B23-E23</f>
        <v>-202575.83000000002</v>
      </c>
      <c r="H23" s="26">
        <f>E23/B23</f>
        <v>0.15358283585419696</v>
      </c>
    </row>
    <row r="24" spans="1:8" s="61" customFormat="1" x14ac:dyDescent="0.2">
      <c r="A24" s="20"/>
      <c r="B24" s="51"/>
      <c r="C24" s="21"/>
      <c r="D24" s="21"/>
      <c r="E24" s="51"/>
      <c r="F24" s="7"/>
      <c r="G24" s="21"/>
      <c r="H24" s="26"/>
    </row>
    <row r="25" spans="1:8" s="61" customFormat="1" x14ac:dyDescent="0.2">
      <c r="A25" s="20" t="s">
        <v>21</v>
      </c>
      <c r="B25" s="51"/>
      <c r="C25" s="21"/>
      <c r="D25" s="21"/>
      <c r="E25" s="51"/>
      <c r="F25" s="7"/>
      <c r="G25" s="21"/>
      <c r="H25" s="26"/>
    </row>
    <row r="26" spans="1:8" s="61" customFormat="1" x14ac:dyDescent="0.2">
      <c r="A26" s="43" t="s">
        <v>17</v>
      </c>
      <c r="B26" s="44">
        <v>0</v>
      </c>
      <c r="C26" s="44">
        <v>-7296.71</v>
      </c>
      <c r="D26" s="44">
        <v>0</v>
      </c>
      <c r="E26" s="44">
        <f>SUM(C26+D26+July!E26)</f>
        <v>28227.450000000004</v>
      </c>
      <c r="F26" s="45"/>
      <c r="G26" s="44">
        <f>SUM(B26-E26)</f>
        <v>-28227.450000000004</v>
      </c>
      <c r="H26" s="46"/>
    </row>
    <row r="27" spans="1:8" s="61" customFormat="1" x14ac:dyDescent="0.2">
      <c r="A27" s="20" t="s">
        <v>18</v>
      </c>
      <c r="B27" s="51">
        <v>0</v>
      </c>
      <c r="C27" s="21">
        <v>-2803424.1</v>
      </c>
      <c r="D27" s="21">
        <v>-150673.4</v>
      </c>
      <c r="E27" s="51">
        <f>SUM(C27+D27+July!E27-July!D27)</f>
        <v>-2013387.5</v>
      </c>
      <c r="F27" s="7"/>
      <c r="G27" s="21">
        <f>SUM(B27-E27)</f>
        <v>2013387.5</v>
      </c>
      <c r="H27" s="26" t="e">
        <f>SUM(E27/B27)</f>
        <v>#DIV/0!</v>
      </c>
    </row>
    <row r="28" spans="1:8" s="61" customFormat="1" x14ac:dyDescent="0.2">
      <c r="A28" s="20"/>
      <c r="B28" s="51"/>
      <c r="C28" s="21"/>
      <c r="D28" s="21"/>
      <c r="E28" s="51"/>
      <c r="F28" s="7"/>
      <c r="G28" s="21"/>
      <c r="H28" s="26"/>
    </row>
    <row r="29" spans="1:8" s="62" customFormat="1" x14ac:dyDescent="0.2">
      <c r="A29" s="20" t="s">
        <v>22</v>
      </c>
      <c r="B29" s="41"/>
      <c r="C29" s="22"/>
      <c r="D29" s="22"/>
      <c r="E29" s="51"/>
      <c r="F29" s="8"/>
      <c r="G29" s="21"/>
      <c r="H29" s="26"/>
    </row>
    <row r="30" spans="1:8" s="62" customFormat="1" x14ac:dyDescent="0.2">
      <c r="A30" s="43" t="s">
        <v>17</v>
      </c>
      <c r="B30" s="49">
        <v>1988367</v>
      </c>
      <c r="C30" s="49">
        <v>0</v>
      </c>
      <c r="D30" s="49">
        <v>0</v>
      </c>
      <c r="E30" s="44">
        <f>SUM(C30+D30+July!E30)</f>
        <v>-1429787</v>
      </c>
      <c r="F30" s="50"/>
      <c r="G30" s="44">
        <f>B30-E30</f>
        <v>3418154</v>
      </c>
      <c r="H30" s="46">
        <f>E30/B30</f>
        <v>-0.71907600558649387</v>
      </c>
    </row>
    <row r="31" spans="1:8" s="62" customFormat="1" x14ac:dyDescent="0.2">
      <c r="A31" s="20" t="s">
        <v>18</v>
      </c>
      <c r="B31" s="41">
        <v>-1893894</v>
      </c>
      <c r="C31" s="22">
        <v>0</v>
      </c>
      <c r="D31" s="22">
        <v>0</v>
      </c>
      <c r="E31" s="51">
        <f>SUM(C31+D31+July!E31-July!D31)</f>
        <v>-476947.49</v>
      </c>
      <c r="F31" s="8"/>
      <c r="G31" s="21">
        <f>B31-E31</f>
        <v>-1416946.51</v>
      </c>
      <c r="H31" s="26">
        <f>E31/B31</f>
        <v>0.25183431068475848</v>
      </c>
    </row>
    <row r="32" spans="1:8" s="62" customFormat="1" x14ac:dyDescent="0.2">
      <c r="A32" s="20"/>
      <c r="B32" s="41"/>
      <c r="C32" s="22"/>
      <c r="D32" s="22"/>
      <c r="E32" s="51"/>
      <c r="F32" s="8"/>
      <c r="G32" s="21"/>
      <c r="H32" s="26"/>
    </row>
    <row r="33" spans="1:8" s="62" customFormat="1" x14ac:dyDescent="0.2">
      <c r="A33" s="20" t="s">
        <v>23</v>
      </c>
      <c r="B33" s="41"/>
      <c r="C33" s="22"/>
      <c r="D33" s="22"/>
      <c r="E33" s="51"/>
      <c r="F33" s="8"/>
      <c r="G33" s="21"/>
      <c r="H33" s="26"/>
    </row>
    <row r="34" spans="1:8" s="62" customFormat="1" x14ac:dyDescent="0.2">
      <c r="A34" s="43" t="s">
        <v>17</v>
      </c>
      <c r="B34" s="49">
        <v>10800</v>
      </c>
      <c r="C34" s="49">
        <v>145</v>
      </c>
      <c r="D34" s="49">
        <v>0</v>
      </c>
      <c r="E34" s="44">
        <f>SUM(C34+D34+July!E34)</f>
        <v>1145</v>
      </c>
      <c r="F34" s="50"/>
      <c r="G34" s="44">
        <f>B34-E34</f>
        <v>9655</v>
      </c>
      <c r="H34" s="46">
        <f>E34/B34</f>
        <v>0.10601851851851851</v>
      </c>
    </row>
    <row r="35" spans="1:8" s="62" customFormat="1" x14ac:dyDescent="0.2">
      <c r="A35" s="20" t="s">
        <v>18</v>
      </c>
      <c r="B35" s="41">
        <v>-10800</v>
      </c>
      <c r="C35" s="22">
        <v>0</v>
      </c>
      <c r="D35" s="22">
        <v>0</v>
      </c>
      <c r="E35" s="51">
        <f>SUM(C35+D35+July!E35-July!D35)</f>
        <v>-1000</v>
      </c>
      <c r="F35" s="8"/>
      <c r="G35" s="21">
        <f>B35-E35</f>
        <v>-9800</v>
      </c>
      <c r="H35" s="26">
        <f>E35/B35</f>
        <v>9.2592592592592587E-2</v>
      </c>
    </row>
    <row r="36" spans="1:8" s="62" customFormat="1" x14ac:dyDescent="0.2">
      <c r="A36" s="20"/>
      <c r="B36" s="41"/>
      <c r="C36" s="22"/>
      <c r="D36" s="22"/>
      <c r="E36" s="51"/>
      <c r="F36" s="8"/>
      <c r="G36" s="21"/>
      <c r="H36" s="26"/>
    </row>
    <row r="37" spans="1:8" s="62" customFormat="1" x14ac:dyDescent="0.2">
      <c r="A37" s="20" t="s">
        <v>24</v>
      </c>
      <c r="B37" s="41"/>
      <c r="C37" s="22"/>
      <c r="D37" s="22"/>
      <c r="E37" s="51"/>
      <c r="F37" s="8"/>
      <c r="G37" s="21"/>
      <c r="H37" s="26"/>
    </row>
    <row r="38" spans="1:8" s="62" customFormat="1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SUM(C38+D38+July!E38)</f>
        <v>0</v>
      </c>
      <c r="F38" s="50"/>
      <c r="G38" s="44">
        <f>B38-E38</f>
        <v>0</v>
      </c>
      <c r="H38" s="46" t="e">
        <f>E38/B38</f>
        <v>#DIV/0!</v>
      </c>
    </row>
    <row r="39" spans="1:8" s="62" customFormat="1" x14ac:dyDescent="0.2">
      <c r="A39" s="20" t="s">
        <v>18</v>
      </c>
      <c r="B39" s="41">
        <v>0</v>
      </c>
      <c r="C39" s="22">
        <v>0</v>
      </c>
      <c r="D39" s="22">
        <v>0</v>
      </c>
      <c r="E39" s="51">
        <f>SUM(C39+D39+July!E39-July!D39)</f>
        <v>0</v>
      </c>
      <c r="F39" s="8"/>
      <c r="G39" s="21">
        <f>B39-E39</f>
        <v>0</v>
      </c>
      <c r="H39" s="26" t="e">
        <f>E39/B39</f>
        <v>#DIV/0!</v>
      </c>
    </row>
    <row r="40" spans="1:8" s="62" customFormat="1" x14ac:dyDescent="0.2">
      <c r="A40" s="20"/>
      <c r="B40" s="41"/>
      <c r="C40" s="22"/>
      <c r="D40" s="22"/>
      <c r="E40" s="51"/>
      <c r="F40" s="8"/>
      <c r="G40" s="21"/>
      <c r="H40" s="26"/>
    </row>
    <row r="41" spans="1:8" s="62" customFormat="1" x14ac:dyDescent="0.2">
      <c r="A41" s="20" t="s">
        <v>25</v>
      </c>
      <c r="B41" s="41"/>
      <c r="C41" s="22"/>
      <c r="D41" s="22"/>
      <c r="E41" s="51"/>
      <c r="F41" s="8"/>
      <c r="G41" s="21"/>
      <c r="H41" s="26"/>
    </row>
    <row r="42" spans="1:8" s="62" customFormat="1" x14ac:dyDescent="0.2">
      <c r="A42" s="43" t="s">
        <v>17</v>
      </c>
      <c r="B42" s="49">
        <v>95805.37</v>
      </c>
      <c r="C42" s="49">
        <v>4391.17</v>
      </c>
      <c r="D42" s="49">
        <v>0</v>
      </c>
      <c r="E42" s="44">
        <f>SUM(C42+D42+July!E42)</f>
        <v>5191.17</v>
      </c>
      <c r="F42" s="50"/>
      <c r="G42" s="44">
        <f>B42-E42</f>
        <v>90614.2</v>
      </c>
      <c r="H42" s="46">
        <f>E42/B42</f>
        <v>5.4184541012680193E-2</v>
      </c>
    </row>
    <row r="43" spans="1:8" s="62" customFormat="1" x14ac:dyDescent="0.2">
      <c r="A43" s="20" t="s">
        <v>18</v>
      </c>
      <c r="B43" s="41">
        <v>-95805.37</v>
      </c>
      <c r="C43" s="22">
        <v>-2622.53</v>
      </c>
      <c r="D43" s="22">
        <v>0</v>
      </c>
      <c r="E43" s="51">
        <f>SUM(C43+D43+July!E43-July!D43)</f>
        <v>-19009.079999999998</v>
      </c>
      <c r="F43" s="8"/>
      <c r="G43" s="21">
        <f>B43-E43</f>
        <v>-76796.289999999994</v>
      </c>
      <c r="H43" s="26">
        <f>E43/B43</f>
        <v>0.19841351272898375</v>
      </c>
    </row>
    <row r="44" spans="1:8" s="62" customFormat="1" x14ac:dyDescent="0.2">
      <c r="A44" s="20"/>
      <c r="B44" s="41"/>
      <c r="C44" s="22"/>
      <c r="D44" s="22"/>
      <c r="E44" s="51"/>
      <c r="F44" s="8"/>
      <c r="G44" s="21"/>
      <c r="H44" s="26"/>
    </row>
    <row r="45" spans="1:8" s="62" customFormat="1" x14ac:dyDescent="0.2">
      <c r="A45" s="20" t="s">
        <v>26</v>
      </c>
      <c r="B45" s="41"/>
      <c r="C45" s="22"/>
      <c r="D45" s="22"/>
      <c r="E45" s="51"/>
      <c r="F45" s="8"/>
      <c r="G45" s="21"/>
      <c r="H45" s="26"/>
    </row>
    <row r="46" spans="1:8" s="62" customFormat="1" x14ac:dyDescent="0.2">
      <c r="A46" s="43" t="s">
        <v>17</v>
      </c>
      <c r="B46" s="49">
        <v>6700</v>
      </c>
      <c r="C46" s="49">
        <v>0</v>
      </c>
      <c r="D46" s="49">
        <v>0</v>
      </c>
      <c r="E46" s="44">
        <f>SUM(C46+D46+July!E46)</f>
        <v>0</v>
      </c>
      <c r="F46" s="50"/>
      <c r="G46" s="44">
        <f>B46-E46</f>
        <v>6700</v>
      </c>
      <c r="H46" s="46">
        <f>E46/B46</f>
        <v>0</v>
      </c>
    </row>
    <row r="47" spans="1:8" s="62" customFormat="1" x14ac:dyDescent="0.2">
      <c r="A47" s="20" t="s">
        <v>18</v>
      </c>
      <c r="B47" s="41">
        <v>-74979</v>
      </c>
      <c r="C47" s="22">
        <v>0</v>
      </c>
      <c r="D47" s="22">
        <v>0</v>
      </c>
      <c r="E47" s="51">
        <f>SUM(C47+D47+July!E47-July!D47)</f>
        <v>0</v>
      </c>
      <c r="F47" s="8"/>
      <c r="G47" s="21">
        <f>B47-E47</f>
        <v>-74979</v>
      </c>
      <c r="H47" s="26">
        <f>E47/B47</f>
        <v>0</v>
      </c>
    </row>
    <row r="48" spans="1:8" s="62" customFormat="1" x14ac:dyDescent="0.2">
      <c r="A48" s="20"/>
      <c r="B48" s="41"/>
      <c r="C48" s="22"/>
      <c r="D48" s="22"/>
      <c r="E48" s="51"/>
      <c r="F48" s="8"/>
      <c r="G48" s="21"/>
      <c r="H48" s="26"/>
    </row>
    <row r="49" spans="1:13" s="62" customFormat="1" x14ac:dyDescent="0.2">
      <c r="A49" s="20" t="s">
        <v>27</v>
      </c>
      <c r="B49" s="41"/>
      <c r="C49" s="22"/>
      <c r="D49" s="22"/>
      <c r="E49" s="51"/>
      <c r="F49" s="8"/>
      <c r="G49" s="21"/>
      <c r="H49" s="26"/>
      <c r="I49" s="59"/>
      <c r="J49" s="59"/>
      <c r="K49" s="59"/>
      <c r="L49" s="59"/>
      <c r="M49" s="59"/>
    </row>
    <row r="50" spans="1:13" s="62" customFormat="1" x14ac:dyDescent="0.2">
      <c r="A50" s="43" t="s">
        <v>17</v>
      </c>
      <c r="B50" s="49">
        <v>138887</v>
      </c>
      <c r="C50" s="49">
        <v>0</v>
      </c>
      <c r="D50" s="49">
        <v>0</v>
      </c>
      <c r="E50" s="44">
        <f>SUM(C50+D50+July!E50)</f>
        <v>-133301</v>
      </c>
      <c r="F50" s="50"/>
      <c r="G50" s="44">
        <f>B50-E50</f>
        <v>272188</v>
      </c>
      <c r="H50" s="46">
        <f>E50/B50</f>
        <v>-0.95978025301144099</v>
      </c>
      <c r="I50" s="59"/>
      <c r="J50" s="59"/>
      <c r="K50" s="59"/>
      <c r="L50" s="59"/>
      <c r="M50" s="59"/>
    </row>
    <row r="51" spans="1:13" s="62" customFormat="1" x14ac:dyDescent="0.2">
      <c r="A51" s="20" t="s">
        <v>18</v>
      </c>
      <c r="B51" s="41">
        <v>-133212.5</v>
      </c>
      <c r="C51" s="22">
        <v>0</v>
      </c>
      <c r="D51" s="22">
        <v>0</v>
      </c>
      <c r="E51" s="51">
        <f>SUM(C51+D51+July!E51-July!D51)</f>
        <v>-14506.25</v>
      </c>
      <c r="F51" s="8"/>
      <c r="G51" s="21">
        <f>B51-E51</f>
        <v>-118706.25</v>
      </c>
      <c r="H51" s="26">
        <f>E51/B51</f>
        <v>0.10889556160270245</v>
      </c>
      <c r="I51" s="59"/>
      <c r="J51" s="59"/>
      <c r="K51" s="59"/>
      <c r="L51" s="59"/>
      <c r="M51" s="59"/>
    </row>
    <row r="52" spans="1:13" s="62" customFormat="1" x14ac:dyDescent="0.2">
      <c r="A52" s="20"/>
      <c r="B52" s="41"/>
      <c r="C52" s="22"/>
      <c r="D52" s="22"/>
      <c r="E52" s="51"/>
      <c r="F52" s="8"/>
      <c r="G52" s="21"/>
      <c r="H52" s="26"/>
      <c r="I52" s="59"/>
      <c r="J52" s="59"/>
      <c r="K52" s="59"/>
      <c r="L52" s="59"/>
      <c r="M52" s="59"/>
    </row>
    <row r="53" spans="1:13" s="32" customFormat="1" x14ac:dyDescent="0.2">
      <c r="A53" s="20"/>
      <c r="B53" s="41"/>
      <c r="C53" s="22"/>
      <c r="D53" s="22"/>
      <c r="E53" s="20"/>
      <c r="F53" s="5"/>
      <c r="G53" s="20"/>
      <c r="H53" s="26"/>
      <c r="I53" s="59"/>
      <c r="J53" s="59"/>
      <c r="K53" s="59"/>
      <c r="L53" s="59"/>
      <c r="M53" s="59"/>
    </row>
    <row r="54" spans="1:13" s="32" customFormat="1" x14ac:dyDescent="0.2">
      <c r="A54" s="23" t="s">
        <v>28</v>
      </c>
      <c r="B54" s="41">
        <f>SUM(B14+B18+B22+B30+B34+B38+B42+B46+B50)</f>
        <v>12213682.289999999</v>
      </c>
      <c r="C54" s="22">
        <f>SUM(C14+C18+C22+C26+C30+C34+C38+C42+C46+C50)</f>
        <v>1193394.51</v>
      </c>
      <c r="D54" s="22">
        <f>SUM(D14+D18+D22+D30+D34+D38+D42+D46+D50)</f>
        <v>0</v>
      </c>
      <c r="E54" s="22">
        <f>E14+E18+E22+E30+E34+E52+E38+E42+E46+E50+E26</f>
        <v>2539497.87</v>
      </c>
      <c r="F54" s="8"/>
      <c r="G54" s="22">
        <f>G14+G18+G22+G30+G34+G52+G38+G42+G46+G50+G26</f>
        <v>9674184.4199999999</v>
      </c>
      <c r="H54" s="26">
        <f>E54/B54</f>
        <v>0.20792237833787638</v>
      </c>
      <c r="I54" s="59"/>
      <c r="J54" s="59"/>
      <c r="K54" s="59"/>
      <c r="L54" s="59"/>
      <c r="M54" s="59"/>
    </row>
    <row r="55" spans="1:13" s="32" customFormat="1" x14ac:dyDescent="0.2">
      <c r="A55" s="24" t="s">
        <v>29</v>
      </c>
      <c r="B55" s="41">
        <f>SUM(B15+B19+B23+B31+B35+B39+B43+B47+B51+B27)</f>
        <v>-12102340.529999999</v>
      </c>
      <c r="C55" s="22">
        <f>C15+C19+C23+C31+C35+C53+C39+C43+C47+C51+C27</f>
        <v>-3049134.2600000002</v>
      </c>
      <c r="D55" s="22">
        <f>SUM(D15+D19+D23+D31+D35+D39+D43+D47+D51+D27)</f>
        <v>-165466.12</v>
      </c>
      <c r="E55" s="22">
        <f>E15+E19+E23+E31+E35+E53+E39+E43+E47+E51+E27</f>
        <v>-3204640.71</v>
      </c>
      <c r="F55" s="8"/>
      <c r="G55" s="22">
        <f>G15+G19+G23+G31+G35+G53+G39+G43+G47+G51+G27</f>
        <v>-8897699.8199999984</v>
      </c>
      <c r="H55" s="26">
        <f>E55/B55</f>
        <v>0.26479511975854148</v>
      </c>
      <c r="I55" s="59"/>
      <c r="J55" s="59"/>
      <c r="K55" s="59"/>
      <c r="L55" s="59"/>
      <c r="M55" s="59"/>
    </row>
    <row r="56" spans="1:13" s="32" customFormat="1" ht="15" customHeight="1" x14ac:dyDescent="0.2">
      <c r="A56" s="20"/>
      <c r="B56" s="51"/>
      <c r="C56" s="21"/>
      <c r="D56" s="21"/>
      <c r="E56" s="21"/>
      <c r="F56" s="7"/>
      <c r="G56" s="21"/>
      <c r="H56" s="26"/>
      <c r="I56" s="59"/>
      <c r="J56" s="59"/>
      <c r="K56" s="59"/>
      <c r="L56" s="59"/>
      <c r="M56" s="59"/>
    </row>
    <row r="57" spans="1:13" s="32" customFormat="1" ht="18" customHeight="1" x14ac:dyDescent="0.2">
      <c r="A57" s="5"/>
      <c r="B57" s="5"/>
      <c r="C57" s="5"/>
      <c r="D57" s="5"/>
      <c r="E57" s="5"/>
      <c r="F57" s="5"/>
      <c r="G57" s="5"/>
      <c r="H57" s="14"/>
      <c r="I57" s="59"/>
      <c r="J57" s="59"/>
      <c r="K57" s="59"/>
      <c r="L57" s="59"/>
      <c r="M57" s="59"/>
    </row>
    <row r="58" spans="1:13" ht="16.5" x14ac:dyDescent="0.3">
      <c r="A58" s="105"/>
      <c r="B58" s="105"/>
      <c r="C58" s="105"/>
      <c r="D58" s="105"/>
      <c r="E58" s="105"/>
      <c r="F58" s="105"/>
      <c r="G58" s="105"/>
      <c r="H58" s="105"/>
      <c r="I58" s="59"/>
      <c r="J58" s="59"/>
      <c r="K58" s="59"/>
      <c r="L58" s="59"/>
      <c r="M58" s="59"/>
    </row>
    <row r="59" spans="1:13" x14ac:dyDescent="0.2">
      <c r="A59" s="2"/>
      <c r="B59" s="37"/>
      <c r="E59" s="37"/>
      <c r="G59" s="37"/>
      <c r="I59" s="59"/>
      <c r="J59" s="59"/>
      <c r="K59" s="59"/>
      <c r="L59" s="59"/>
      <c r="M59" s="59"/>
    </row>
    <row r="60" spans="1:13" x14ac:dyDescent="0.2">
      <c r="A60" s="2"/>
      <c r="B60" s="37"/>
      <c r="E60" s="37"/>
      <c r="G60" s="37"/>
      <c r="I60" s="59"/>
      <c r="J60" s="59"/>
      <c r="K60" s="59"/>
      <c r="L60" s="59"/>
      <c r="M60" s="59"/>
    </row>
    <row r="61" spans="1:13" x14ac:dyDescent="0.2">
      <c r="A61" s="2"/>
      <c r="D61" s="6"/>
      <c r="E61" s="72"/>
      <c r="F61" s="3"/>
      <c r="G61" s="72"/>
      <c r="H61" s="9"/>
      <c r="I61" s="59"/>
      <c r="J61" s="59"/>
      <c r="K61" s="59"/>
      <c r="L61" s="59"/>
      <c r="M61" s="59"/>
    </row>
    <row r="62" spans="1:13" s="29" customFormat="1" ht="23.25" x14ac:dyDescent="0.35">
      <c r="A62" s="1"/>
      <c r="B62" s="1"/>
      <c r="C62" s="1"/>
      <c r="D62" s="6"/>
      <c r="E62" s="72"/>
      <c r="F62" s="3"/>
      <c r="G62" s="75"/>
      <c r="H62"/>
      <c r="I62" s="59"/>
      <c r="J62" s="59"/>
      <c r="K62" s="59"/>
      <c r="L62" s="59"/>
      <c r="M62" s="59"/>
    </row>
    <row r="63" spans="1:13" x14ac:dyDescent="0.2">
      <c r="A63" s="38"/>
      <c r="B63" s="39"/>
      <c r="C63" s="39"/>
      <c r="D63" s="8"/>
      <c r="E63" s="73"/>
      <c r="F63" s="4"/>
      <c r="G63" s="76"/>
      <c r="H63"/>
      <c r="I63" s="59"/>
      <c r="J63" s="59"/>
      <c r="K63" s="59"/>
      <c r="L63" s="59"/>
      <c r="M63" s="59"/>
    </row>
    <row r="64" spans="1:13" ht="15.75" x14ac:dyDescent="0.25">
      <c r="A64" s="38"/>
      <c r="B64" s="39"/>
      <c r="C64" s="39"/>
      <c r="D64" s="8"/>
      <c r="E64" s="73"/>
      <c r="F64" s="4"/>
      <c r="G64" s="77"/>
      <c r="H64" s="54"/>
      <c r="I64" s="59"/>
      <c r="J64" s="59"/>
      <c r="K64" s="59"/>
      <c r="L64" s="59"/>
      <c r="M64" s="59"/>
    </row>
    <row r="65" spans="1:13" s="31" customFormat="1" ht="15.75" x14ac:dyDescent="0.25">
      <c r="A65" s="40"/>
      <c r="B65" s="52"/>
      <c r="C65" s="52"/>
      <c r="D65" s="8"/>
      <c r="E65" s="73"/>
      <c r="F65" s="4"/>
      <c r="G65" s="78"/>
      <c r="H65" s="58"/>
      <c r="I65" s="59"/>
      <c r="J65" s="59"/>
      <c r="K65" s="59"/>
      <c r="L65" s="59"/>
      <c r="M65" s="59"/>
    </row>
    <row r="66" spans="1:13" s="31" customFormat="1" ht="15.75" x14ac:dyDescent="0.25">
      <c r="A66" s="40"/>
      <c r="B66" s="52"/>
      <c r="C66" s="52"/>
      <c r="D66" s="8"/>
      <c r="E66" s="73"/>
      <c r="F66" s="4"/>
      <c r="G66" s="78"/>
      <c r="H66" s="58"/>
      <c r="I66" s="59"/>
      <c r="J66" s="59"/>
      <c r="K66" s="59"/>
      <c r="L66" s="59"/>
      <c r="M66" s="59"/>
    </row>
    <row r="67" spans="1:13" s="31" customFormat="1" ht="15.75" x14ac:dyDescent="0.25">
      <c r="A67" s="40"/>
      <c r="B67" s="52"/>
      <c r="C67" s="52"/>
      <c r="D67" s="8"/>
      <c r="E67" s="73"/>
      <c r="F67" s="4"/>
      <c r="G67" s="78"/>
      <c r="H67" s="58"/>
      <c r="I67" s="59"/>
      <c r="J67" s="59"/>
      <c r="K67" s="59"/>
      <c r="L67" s="59"/>
      <c r="M67" s="59"/>
    </row>
    <row r="68" spans="1:13" s="31" customFormat="1" ht="15.75" x14ac:dyDescent="0.25">
      <c r="A68" s="40"/>
      <c r="B68" s="52"/>
      <c r="C68" s="52"/>
      <c r="D68" s="1"/>
      <c r="E68" s="37"/>
      <c r="F68" s="1"/>
      <c r="G68" s="78"/>
      <c r="H68" s="58"/>
      <c r="I68" s="59"/>
      <c r="J68" s="59"/>
      <c r="K68" s="59"/>
      <c r="L68" s="59"/>
      <c r="M68" s="59"/>
    </row>
    <row r="69" spans="1:13" s="31" customFormat="1" ht="15.75" x14ac:dyDescent="0.25">
      <c r="A69" s="40"/>
      <c r="B69" s="52"/>
      <c r="C69" s="52"/>
      <c r="D69" s="1"/>
      <c r="E69" s="37"/>
      <c r="F69" s="1"/>
      <c r="G69" s="78"/>
      <c r="H69" s="58"/>
      <c r="I69" s="59"/>
      <c r="J69" s="59"/>
      <c r="K69" s="59"/>
      <c r="L69" s="59"/>
      <c r="M69" s="59"/>
    </row>
    <row r="70" spans="1:13" s="31" customFormat="1" ht="15.75" x14ac:dyDescent="0.25">
      <c r="A70" s="40"/>
      <c r="B70" s="52"/>
      <c r="C70" s="52"/>
      <c r="D70" s="1"/>
      <c r="E70" s="37"/>
      <c r="F70" s="1"/>
      <c r="G70" s="78"/>
      <c r="H70" s="58"/>
      <c r="I70" s="59"/>
      <c r="J70" s="59"/>
      <c r="K70" s="59"/>
      <c r="L70" s="59"/>
      <c r="M70" s="59"/>
    </row>
    <row r="71" spans="1:13" s="31" customFormat="1" ht="15.75" x14ac:dyDescent="0.25">
      <c r="A71" s="40"/>
      <c r="B71" s="52"/>
      <c r="C71" s="52"/>
      <c r="D71" s="1"/>
      <c r="E71" s="37"/>
      <c r="F71" s="1"/>
      <c r="G71" s="78"/>
      <c r="H71" s="58"/>
      <c r="I71" s="59"/>
      <c r="J71" s="59"/>
      <c r="K71" s="59"/>
      <c r="L71" s="59"/>
      <c r="M71" s="59"/>
    </row>
    <row r="72" spans="1:13" s="31" customFormat="1" ht="15.75" x14ac:dyDescent="0.25">
      <c r="A72" s="20"/>
      <c r="B72" s="52"/>
      <c r="C72" s="52"/>
      <c r="D72" s="1"/>
      <c r="E72" s="37"/>
      <c r="F72" s="1"/>
      <c r="G72" s="78"/>
      <c r="H72" s="58"/>
      <c r="I72" s="59"/>
      <c r="J72" s="103"/>
      <c r="K72" s="59"/>
      <c r="L72" s="59"/>
      <c r="M72" s="59"/>
    </row>
    <row r="73" spans="1:13" s="31" customFormat="1" ht="15.75" x14ac:dyDescent="0.25">
      <c r="A73" s="20"/>
      <c r="B73" s="52"/>
      <c r="C73" s="52"/>
      <c r="D73" s="1"/>
      <c r="E73" s="37"/>
      <c r="F73" s="1"/>
      <c r="G73" s="78"/>
      <c r="H73" s="58"/>
      <c r="I73" s="59"/>
      <c r="J73" s="59"/>
      <c r="K73" s="59"/>
      <c r="L73" s="59"/>
      <c r="M73" s="59"/>
    </row>
    <row r="74" spans="1:13" s="31" customFormat="1" x14ac:dyDescent="0.2">
      <c r="A74" s="20"/>
      <c r="B74" s="52"/>
      <c r="C74" s="52"/>
      <c r="D74" s="1"/>
      <c r="E74" s="37"/>
      <c r="F74" s="1"/>
      <c r="G74" s="37"/>
      <c r="H74" s="58"/>
      <c r="I74" s="59"/>
      <c r="J74" s="59"/>
      <c r="K74" s="59"/>
      <c r="L74" s="59"/>
      <c r="M74" s="59"/>
    </row>
    <row r="75" spans="1:13" s="31" customFormat="1" ht="16.5" thickBot="1" x14ac:dyDescent="0.3">
      <c r="A75" s="20"/>
      <c r="B75" s="52"/>
      <c r="C75" s="52"/>
      <c r="D75" s="1"/>
      <c r="E75" s="37"/>
      <c r="F75" s="1"/>
      <c r="G75" s="76"/>
      <c r="H75" s="57"/>
      <c r="I75" s="59"/>
      <c r="J75" s="59"/>
      <c r="K75" s="59"/>
      <c r="L75" s="59"/>
      <c r="M75" s="59"/>
    </row>
    <row r="76" spans="1:13" s="31" customFormat="1" ht="15.75" thickTop="1" x14ac:dyDescent="0.2">
      <c r="A76" s="20"/>
      <c r="B76" s="52"/>
      <c r="C76" s="52"/>
      <c r="D76" s="1"/>
      <c r="E76" s="37"/>
      <c r="F76" s="1"/>
      <c r="G76" s="76"/>
      <c r="H76"/>
      <c r="I76" s="59"/>
      <c r="J76" s="59"/>
      <c r="K76" s="59"/>
      <c r="L76" s="59"/>
      <c r="M76" s="59"/>
    </row>
    <row r="77" spans="1:13" s="31" customFormat="1" x14ac:dyDescent="0.2">
      <c r="A77" s="20"/>
      <c r="B77" s="52"/>
      <c r="C77" s="52"/>
      <c r="D77" s="1"/>
      <c r="E77" s="37"/>
      <c r="F77" s="1"/>
      <c r="G77" s="37"/>
      <c r="H77" s="10"/>
      <c r="I77" s="59"/>
      <c r="J77" s="59"/>
      <c r="K77" s="59"/>
      <c r="L77" s="59"/>
      <c r="M77" s="59"/>
    </row>
    <row r="78" spans="1:13" s="31" customFormat="1" x14ac:dyDescent="0.2">
      <c r="A78" s="20"/>
      <c r="B78" s="52"/>
      <c r="C78" s="52"/>
      <c r="D78" s="1"/>
      <c r="E78" s="37"/>
      <c r="F78" s="1"/>
      <c r="G78" s="37"/>
      <c r="H78" s="10"/>
      <c r="I78" s="59"/>
      <c r="J78" s="59"/>
      <c r="K78" s="59"/>
      <c r="L78" s="59"/>
      <c r="M78" s="59"/>
    </row>
    <row r="79" spans="1:13" x14ac:dyDescent="0.2">
      <c r="A79" s="20"/>
      <c r="B79" s="52"/>
      <c r="C79" s="52"/>
      <c r="E79" s="37"/>
      <c r="G79" s="37"/>
      <c r="I79" s="59"/>
      <c r="J79" s="59"/>
      <c r="K79" s="59"/>
      <c r="L79" s="59"/>
      <c r="M79" s="59"/>
    </row>
    <row r="80" spans="1:13" x14ac:dyDescent="0.2">
      <c r="A80" s="63"/>
      <c r="B80" s="64"/>
      <c r="C80" s="64"/>
      <c r="E80" s="37"/>
      <c r="G80" s="37"/>
      <c r="I80" s="59"/>
      <c r="J80" s="59"/>
      <c r="K80" s="59"/>
      <c r="L80" s="59"/>
      <c r="M80" s="59"/>
    </row>
    <row r="81" spans="1:7" x14ac:dyDescent="0.2">
      <c r="A81" s="85"/>
      <c r="B81" s="86"/>
      <c r="C81" s="86"/>
      <c r="E81" s="37"/>
      <c r="G81" s="37"/>
    </row>
    <row r="82" spans="1:7" x14ac:dyDescent="0.2">
      <c r="A82" s="35"/>
      <c r="B82" s="56"/>
      <c r="C82" s="56"/>
      <c r="E82" s="37"/>
      <c r="G82" s="37"/>
    </row>
    <row r="83" spans="1:7" x14ac:dyDescent="0.2">
      <c r="A83" s="38"/>
      <c r="B83" s="52"/>
      <c r="C83" s="52"/>
    </row>
    <row r="84" spans="1:7" x14ac:dyDescent="0.2">
      <c r="A84" s="40"/>
      <c r="B84" s="69"/>
      <c r="C84" s="69"/>
    </row>
    <row r="85" spans="1:7" x14ac:dyDescent="0.2">
      <c r="A85" s="40"/>
      <c r="B85" s="69"/>
      <c r="C85" s="69"/>
    </row>
    <row r="86" spans="1:7" x14ac:dyDescent="0.2">
      <c r="A86" s="40"/>
      <c r="B86" s="69"/>
      <c r="C86" s="69"/>
    </row>
    <row r="87" spans="1:7" ht="17.25" x14ac:dyDescent="0.35">
      <c r="A87" s="42"/>
      <c r="B87" s="65"/>
      <c r="C87" s="65"/>
    </row>
  </sheetData>
  <mergeCells count="4">
    <mergeCell ref="A2:H2"/>
    <mergeCell ref="A3:H3"/>
    <mergeCell ref="A4:H4"/>
    <mergeCell ref="A58:H58"/>
  </mergeCells>
  <phoneticPr fontId="3" type="noConversion"/>
  <pageMargins left="0.6" right="0.6" top="0.5" bottom="0.5" header="0.5" footer="0.5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>
      <selection activeCell="G50" sqref="G50"/>
    </sheetView>
  </sheetViews>
  <sheetFormatPr defaultColWidth="11.44140625" defaultRowHeight="1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8.21875" style="1" customWidth="1"/>
    <col min="8" max="8" width="13.5546875" style="10" customWidth="1"/>
    <col min="9" max="10" width="11.44140625" style="30" customWidth="1"/>
    <col min="11" max="12" width="13.77734375" style="30" customWidth="1"/>
    <col min="13" max="14" width="15.77734375" style="30" customWidth="1"/>
    <col min="15" max="17" width="13.77734375" style="30" customWidth="1"/>
    <col min="18" max="16384" width="11.44140625" style="30"/>
  </cols>
  <sheetData>
    <row r="1" spans="1:9" s="29" customFormat="1" ht="16.5" x14ac:dyDescent="0.3">
      <c r="A1" s="104" t="s">
        <v>1</v>
      </c>
      <c r="B1" s="104"/>
      <c r="C1" s="104"/>
      <c r="D1" s="104"/>
      <c r="E1" s="104"/>
      <c r="F1" s="104"/>
      <c r="G1" s="104"/>
      <c r="H1" s="104"/>
      <c r="I1" s="28"/>
    </row>
    <row r="2" spans="1:9" s="29" customFormat="1" ht="16.5" x14ac:dyDescent="0.3">
      <c r="A2" s="104" t="s">
        <v>2</v>
      </c>
      <c r="B2" s="104"/>
      <c r="C2" s="104"/>
      <c r="D2" s="104"/>
      <c r="E2" s="104"/>
      <c r="F2" s="104"/>
      <c r="G2" s="104"/>
      <c r="H2" s="104"/>
      <c r="I2" s="28"/>
    </row>
    <row r="3" spans="1:9" x14ac:dyDescent="0.2">
      <c r="A3" s="102"/>
      <c r="B3" s="5"/>
      <c r="C3" s="5"/>
      <c r="D3" s="5"/>
      <c r="E3" s="5"/>
      <c r="F3" s="5"/>
      <c r="G3" s="16" t="s">
        <v>3</v>
      </c>
      <c r="H3" s="34">
        <v>42248</v>
      </c>
      <c r="I3" s="28"/>
    </row>
    <row r="4" spans="1:9" s="31" customFormat="1" x14ac:dyDescent="0.2">
      <c r="A4" s="17" t="s">
        <v>4</v>
      </c>
      <c r="B4" s="5"/>
      <c r="C4" s="5"/>
      <c r="D4" s="5"/>
      <c r="E4" s="5"/>
      <c r="F4" s="5"/>
      <c r="G4" s="5"/>
      <c r="H4" s="14"/>
      <c r="I4" s="28"/>
    </row>
    <row r="5" spans="1:9" s="31" customFormat="1" x14ac:dyDescent="0.2">
      <c r="A5" s="5"/>
      <c r="B5" s="5"/>
      <c r="C5" s="5"/>
      <c r="D5" s="5"/>
      <c r="E5" s="5"/>
      <c r="F5" s="5"/>
      <c r="G5" s="5"/>
      <c r="H5" s="14"/>
      <c r="I5" s="28"/>
    </row>
    <row r="6" spans="1:9" s="31" customFormat="1" x14ac:dyDescent="0.2">
      <c r="A6" s="18" t="s">
        <v>5</v>
      </c>
      <c r="B6" s="19" t="s">
        <v>6</v>
      </c>
      <c r="C6" s="19" t="s">
        <v>7</v>
      </c>
      <c r="D6" s="19" t="s">
        <v>8</v>
      </c>
      <c r="E6" s="19" t="s">
        <v>9</v>
      </c>
      <c r="F6" s="6"/>
      <c r="G6" s="19" t="s">
        <v>10</v>
      </c>
      <c r="H6" s="25" t="s">
        <v>11</v>
      </c>
      <c r="I6" s="28"/>
    </row>
    <row r="7" spans="1:9" s="31" customFormat="1" x14ac:dyDescent="0.2">
      <c r="A7" s="18"/>
      <c r="B7" s="19" t="s">
        <v>12</v>
      </c>
      <c r="C7" s="19" t="s">
        <v>13</v>
      </c>
      <c r="D7" s="19"/>
      <c r="E7" s="19" t="s">
        <v>13</v>
      </c>
      <c r="F7" s="6"/>
      <c r="G7" s="19" t="s">
        <v>14</v>
      </c>
      <c r="H7" s="25" t="s">
        <v>15</v>
      </c>
      <c r="I7" s="28"/>
    </row>
    <row r="8" spans="1:9" s="31" customFormat="1" x14ac:dyDescent="0.2">
      <c r="A8" s="20"/>
      <c r="B8" s="20"/>
      <c r="C8" s="20"/>
      <c r="D8" s="20"/>
      <c r="E8" s="20"/>
      <c r="F8" s="5"/>
      <c r="G8" s="20"/>
      <c r="H8" s="26"/>
      <c r="I8" s="28"/>
    </row>
    <row r="9" spans="1:9" s="31" customFormat="1" x14ac:dyDescent="0.2">
      <c r="A9" s="20" t="s">
        <v>16</v>
      </c>
      <c r="B9" s="51"/>
      <c r="C9" s="21"/>
      <c r="D9" s="21"/>
      <c r="E9" s="21"/>
      <c r="F9" s="7"/>
      <c r="G9" s="21"/>
      <c r="H9" s="26"/>
      <c r="I9" s="28"/>
    </row>
    <row r="10" spans="1:9" s="31" customFormat="1" x14ac:dyDescent="0.2">
      <c r="A10" s="43" t="s">
        <v>17</v>
      </c>
      <c r="B10" s="44">
        <v>9372468.9199999999</v>
      </c>
      <c r="C10" s="44">
        <v>897095.28</v>
      </c>
      <c r="D10" s="44">
        <v>0</v>
      </c>
      <c r="E10" s="44">
        <f>SUM(C10+D10+Aug!E14)</f>
        <v>4995469.99</v>
      </c>
      <c r="F10" s="45"/>
      <c r="G10" s="44">
        <f>B10-E10</f>
        <v>4376998.93</v>
      </c>
      <c r="H10" s="46">
        <f>E10/B10</f>
        <v>0.53299403099007558</v>
      </c>
      <c r="I10" s="28"/>
    </row>
    <row r="11" spans="1:9" s="31" customFormat="1" x14ac:dyDescent="0.2">
      <c r="A11" s="20" t="s">
        <v>18</v>
      </c>
      <c r="B11" s="51">
        <v>-9201158.3399999999</v>
      </c>
      <c r="C11" s="21">
        <v>-718814.52</v>
      </c>
      <c r="D11" s="21">
        <v>-15157.12</v>
      </c>
      <c r="E11" s="21">
        <f>SUM(C11+D11+Aug!E15-Aug!D15)</f>
        <v>-1351621.61</v>
      </c>
      <c r="F11" s="7"/>
      <c r="G11" s="21">
        <f>SUM(B11-E11)</f>
        <v>-7849536.7299999995</v>
      </c>
      <c r="H11" s="26">
        <f>E11/B11</f>
        <v>0.14689689711393447</v>
      </c>
      <c r="I11" s="28"/>
    </row>
    <row r="12" spans="1:9" s="31" customFormat="1" x14ac:dyDescent="0.2">
      <c r="A12" s="20"/>
      <c r="B12" s="40"/>
      <c r="C12" s="21"/>
      <c r="D12" s="21"/>
      <c r="E12" s="21"/>
      <c r="F12" s="7"/>
      <c r="G12" s="21"/>
      <c r="H12" s="26"/>
      <c r="I12" s="28"/>
    </row>
    <row r="13" spans="1:9" s="31" customFormat="1" x14ac:dyDescent="0.2">
      <c r="A13" s="20" t="s">
        <v>19</v>
      </c>
      <c r="B13" s="51"/>
      <c r="C13" s="21"/>
      <c r="D13" s="21"/>
      <c r="E13" s="21"/>
      <c r="F13" s="7"/>
      <c r="G13" s="21"/>
      <c r="H13" s="27"/>
      <c r="I13" s="28"/>
    </row>
    <row r="14" spans="1:9" s="31" customFormat="1" x14ac:dyDescent="0.2">
      <c r="A14" s="43" t="s">
        <v>17</v>
      </c>
      <c r="B14" s="44">
        <v>377050</v>
      </c>
      <c r="C14" s="44">
        <v>18572.599999999999</v>
      </c>
      <c r="D14" s="44">
        <v>0</v>
      </c>
      <c r="E14" s="44">
        <f>SUM(C14+D14+Aug!E18)</f>
        <v>19106.149999999998</v>
      </c>
      <c r="F14" s="45"/>
      <c r="G14" s="44">
        <f>B14-E14</f>
        <v>357943.85</v>
      </c>
      <c r="H14" s="46">
        <f>E14/B14</f>
        <v>5.0672722450603364E-2</v>
      </c>
      <c r="I14" s="28"/>
    </row>
    <row r="15" spans="1:9" s="31" customFormat="1" x14ac:dyDescent="0.2">
      <c r="A15" s="20" t="s">
        <v>18</v>
      </c>
      <c r="B15" s="51">
        <v>-453158</v>
      </c>
      <c r="C15" s="21">
        <v>-36611.550000000003</v>
      </c>
      <c r="D15" s="21">
        <v>0</v>
      </c>
      <c r="E15" s="21">
        <f>SUM(C15+D15+Aug!E19-Aug!D19)</f>
        <v>-47201.760000000002</v>
      </c>
      <c r="F15" s="7"/>
      <c r="G15" s="21">
        <f>B15-E15</f>
        <v>-405956.24</v>
      </c>
      <c r="H15" s="26">
        <f>E15/B15</f>
        <v>0.10416181552571069</v>
      </c>
      <c r="I15" s="28"/>
    </row>
    <row r="16" spans="1:9" s="31" customFormat="1" x14ac:dyDescent="0.2">
      <c r="A16" s="20"/>
      <c r="B16" s="51"/>
      <c r="C16" s="21"/>
      <c r="D16" s="21"/>
      <c r="E16" s="21"/>
      <c r="F16" s="7"/>
      <c r="G16" s="21"/>
      <c r="H16" s="26"/>
      <c r="I16" s="28"/>
    </row>
    <row r="17" spans="1:9" s="31" customFormat="1" x14ac:dyDescent="0.2">
      <c r="A17" s="20" t="s">
        <v>20</v>
      </c>
      <c r="B17" s="51"/>
      <c r="C17" s="21"/>
      <c r="D17" s="21"/>
      <c r="E17" s="21"/>
      <c r="F17" s="7"/>
      <c r="G17" s="21"/>
      <c r="H17" s="26"/>
      <c r="I17" s="28"/>
    </row>
    <row r="18" spans="1:9" s="31" customFormat="1" x14ac:dyDescent="0.2">
      <c r="A18" s="43" t="s">
        <v>17</v>
      </c>
      <c r="B18" s="44">
        <v>223604</v>
      </c>
      <c r="C18" s="44">
        <v>8662.58</v>
      </c>
      <c r="D18" s="44">
        <v>0</v>
      </c>
      <c r="E18" s="44">
        <f>SUM(C18+D18+Aug!E22)</f>
        <v>-22223.429999999993</v>
      </c>
      <c r="F18" s="45"/>
      <c r="G18" s="44">
        <f>B18-E18</f>
        <v>245827.43</v>
      </c>
      <c r="H18" s="46">
        <f>E18/B18</f>
        <v>-9.9387443873991496E-2</v>
      </c>
      <c r="I18" s="28"/>
    </row>
    <row r="19" spans="1:9" s="32" customFormat="1" x14ac:dyDescent="0.2">
      <c r="A19" s="20" t="s">
        <v>18</v>
      </c>
      <c r="B19" s="51">
        <v>-239333.32</v>
      </c>
      <c r="C19" s="21">
        <v>-11174.2</v>
      </c>
      <c r="D19" s="21">
        <v>-13.95</v>
      </c>
      <c r="E19" s="21">
        <f>SUM(C19+D19+Aug!E23)</f>
        <v>-47945.64</v>
      </c>
      <c r="F19" s="7"/>
      <c r="G19" s="21">
        <f>B19-E19</f>
        <v>-191387.68</v>
      </c>
      <c r="H19" s="26">
        <f>E19/B19</f>
        <v>0.20032998330529153</v>
      </c>
      <c r="I19" s="28"/>
    </row>
    <row r="20" spans="1:9" s="32" customFormat="1" x14ac:dyDescent="0.2">
      <c r="A20" s="20"/>
      <c r="B20" s="51"/>
      <c r="C20" s="21"/>
      <c r="D20" s="21"/>
      <c r="E20" s="21"/>
      <c r="F20" s="7"/>
      <c r="G20" s="21"/>
      <c r="H20" s="26"/>
      <c r="I20" s="28"/>
    </row>
    <row r="21" spans="1:9" s="32" customFormat="1" x14ac:dyDescent="0.2">
      <c r="A21" s="20" t="s">
        <v>21</v>
      </c>
      <c r="B21" s="51"/>
      <c r="C21" s="21"/>
      <c r="D21" s="21"/>
      <c r="E21" s="21"/>
      <c r="F21" s="7"/>
      <c r="G21" s="21"/>
      <c r="H21" s="26"/>
      <c r="I21" s="28"/>
    </row>
    <row r="22" spans="1:9" s="32" customFormat="1" x14ac:dyDescent="0.2">
      <c r="A22" s="43" t="s">
        <v>17</v>
      </c>
      <c r="B22" s="44">
        <v>0</v>
      </c>
      <c r="C22" s="44">
        <v>9041.9</v>
      </c>
      <c r="D22" s="44">
        <v>0</v>
      </c>
      <c r="E22" s="44">
        <f>SUM(Aug!E26+Sep!C22)</f>
        <v>37269.350000000006</v>
      </c>
      <c r="F22" s="45"/>
      <c r="G22" s="44">
        <f>SUM(B22-E22)</f>
        <v>-37269.350000000006</v>
      </c>
      <c r="H22" s="46" t="e">
        <f>SUM(E22/B22)</f>
        <v>#DIV/0!</v>
      </c>
      <c r="I22" s="28"/>
    </row>
    <row r="23" spans="1:9" s="32" customFormat="1" x14ac:dyDescent="0.2">
      <c r="A23" s="20" t="s">
        <v>18</v>
      </c>
      <c r="B23" s="51">
        <v>0</v>
      </c>
      <c r="C23" s="21">
        <v>-116769.63</v>
      </c>
      <c r="D23" s="21">
        <v>-150673.4</v>
      </c>
      <c r="E23" s="21">
        <f>SUM(C23+D23+Aug!E27-Aug!D27)</f>
        <v>-2130157.1300000004</v>
      </c>
      <c r="F23" s="7"/>
      <c r="G23" s="21">
        <f>SUM(B23-E23)</f>
        <v>2130157.1300000004</v>
      </c>
      <c r="H23" s="26" t="e">
        <f>SUM(E23/B23)</f>
        <v>#DIV/0!</v>
      </c>
      <c r="I23" s="28"/>
    </row>
    <row r="24" spans="1:9" s="32" customFormat="1" x14ac:dyDescent="0.2">
      <c r="A24" s="20"/>
      <c r="B24" s="51"/>
      <c r="C24" s="21"/>
      <c r="D24" s="21"/>
      <c r="E24" s="21"/>
      <c r="F24" s="7"/>
      <c r="G24" s="21"/>
      <c r="H24" s="26"/>
      <c r="I24" s="28"/>
    </row>
    <row r="25" spans="1:9" s="32" customFormat="1" x14ac:dyDescent="0.2">
      <c r="A25" s="20" t="s">
        <v>22</v>
      </c>
      <c r="B25" s="41"/>
      <c r="C25" s="22"/>
      <c r="D25" s="22"/>
      <c r="E25" s="21"/>
      <c r="F25" s="8"/>
      <c r="G25" s="21"/>
      <c r="H25" s="26"/>
      <c r="I25" s="28"/>
    </row>
    <row r="26" spans="1:9" s="32" customFormat="1" x14ac:dyDescent="0.2">
      <c r="A26" s="43" t="s">
        <v>17</v>
      </c>
      <c r="B26" s="49">
        <v>1988367</v>
      </c>
      <c r="C26" s="49">
        <v>0</v>
      </c>
      <c r="D26" s="49">
        <v>0</v>
      </c>
      <c r="E26" s="44">
        <f>SUM(C26+D26+Aug!E30)</f>
        <v>-1429787</v>
      </c>
      <c r="F26" s="50"/>
      <c r="G26" s="44">
        <f>B26-E26</f>
        <v>3418154</v>
      </c>
      <c r="H26" s="46">
        <f>E26/B26</f>
        <v>-0.71907600558649387</v>
      </c>
      <c r="I26" s="28"/>
    </row>
    <row r="27" spans="1:9" s="32" customFormat="1" x14ac:dyDescent="0.2">
      <c r="A27" s="20" t="s">
        <v>18</v>
      </c>
      <c r="B27" s="41">
        <v>-1893894</v>
      </c>
      <c r="C27" s="22">
        <v>0</v>
      </c>
      <c r="D27" s="22">
        <v>0</v>
      </c>
      <c r="E27" s="21">
        <f>SUM(C27+D27+Aug!E31-Aug!D31)</f>
        <v>-476947.49</v>
      </c>
      <c r="F27" s="8"/>
      <c r="G27" s="21">
        <f>B27-E27</f>
        <v>-1416946.51</v>
      </c>
      <c r="H27" s="26">
        <f>E27/B27</f>
        <v>0.25183431068475848</v>
      </c>
      <c r="I27" s="28"/>
    </row>
    <row r="28" spans="1:9" s="32" customFormat="1" x14ac:dyDescent="0.2">
      <c r="A28" s="20"/>
      <c r="B28" s="41"/>
      <c r="C28" s="22"/>
      <c r="D28" s="22"/>
      <c r="E28" s="21"/>
      <c r="F28" s="8"/>
      <c r="G28" s="21"/>
      <c r="H28" s="26"/>
      <c r="I28" s="28"/>
    </row>
    <row r="29" spans="1:9" s="32" customFormat="1" x14ac:dyDescent="0.2">
      <c r="A29" s="20" t="s">
        <v>23</v>
      </c>
      <c r="B29" s="41"/>
      <c r="C29" s="22"/>
      <c r="D29" s="22"/>
      <c r="E29" s="21"/>
      <c r="F29" s="8"/>
      <c r="G29" s="21"/>
      <c r="H29" s="26"/>
      <c r="I29" s="28"/>
    </row>
    <row r="30" spans="1:9" s="32" customFormat="1" x14ac:dyDescent="0.2">
      <c r="A30" s="43" t="s">
        <v>17</v>
      </c>
      <c r="B30" s="49">
        <v>10800</v>
      </c>
      <c r="C30" s="49">
        <v>8745</v>
      </c>
      <c r="D30" s="49">
        <v>0</v>
      </c>
      <c r="E30" s="44">
        <f>SUM(C30+D30+Aug!E34)</f>
        <v>9890</v>
      </c>
      <c r="F30" s="50"/>
      <c r="G30" s="44">
        <f>B30-E30</f>
        <v>910</v>
      </c>
      <c r="H30" s="46">
        <f>E30/B30</f>
        <v>0.91574074074074074</v>
      </c>
      <c r="I30" s="28"/>
    </row>
    <row r="31" spans="1:9" s="32" customFormat="1" x14ac:dyDescent="0.2">
      <c r="A31" s="20" t="s">
        <v>18</v>
      </c>
      <c r="B31" s="41">
        <v>-10800</v>
      </c>
      <c r="C31" s="22">
        <v>-250</v>
      </c>
      <c r="D31" s="22">
        <v>0</v>
      </c>
      <c r="E31" s="21">
        <f>SUM(C31+D31+Aug!E35-Aug!D35)</f>
        <v>-1250</v>
      </c>
      <c r="F31" s="8"/>
      <c r="G31" s="21">
        <f>B31-E31</f>
        <v>-9550</v>
      </c>
      <c r="H31" s="26">
        <f>E31/B31</f>
        <v>0.11574074074074074</v>
      </c>
      <c r="I31" s="28"/>
    </row>
    <row r="32" spans="1:9" s="32" customFormat="1" x14ac:dyDescent="0.2">
      <c r="A32" s="20"/>
      <c r="B32" s="41"/>
      <c r="C32" s="22"/>
      <c r="D32" s="22"/>
      <c r="E32" s="21"/>
      <c r="F32" s="8"/>
      <c r="G32" s="21"/>
      <c r="H32" s="26"/>
      <c r="I32" s="28"/>
    </row>
    <row r="33" spans="1:9" s="32" customFormat="1" x14ac:dyDescent="0.2">
      <c r="A33" s="20" t="s">
        <v>24</v>
      </c>
      <c r="B33" s="41"/>
      <c r="C33" s="22"/>
      <c r="D33" s="22"/>
      <c r="E33" s="21"/>
      <c r="F33" s="8"/>
      <c r="G33" s="21"/>
      <c r="H33" s="26"/>
      <c r="I33" s="28"/>
    </row>
    <row r="34" spans="1:9" s="32" customFormat="1" x14ac:dyDescent="0.2">
      <c r="A34" s="43" t="s">
        <v>17</v>
      </c>
      <c r="B34" s="49">
        <v>0</v>
      </c>
      <c r="C34" s="49">
        <v>0</v>
      </c>
      <c r="D34" s="49">
        <v>0</v>
      </c>
      <c r="E34" s="44">
        <f>SUM(C34+D34+Aug!E38)</f>
        <v>0</v>
      </c>
      <c r="F34" s="50"/>
      <c r="G34" s="44">
        <f>B34-E34</f>
        <v>0</v>
      </c>
      <c r="H34" s="46" t="e">
        <f>E34/B34</f>
        <v>#DIV/0!</v>
      </c>
      <c r="I34" s="28"/>
    </row>
    <row r="35" spans="1:9" s="32" customFormat="1" x14ac:dyDescent="0.2">
      <c r="A35" s="20" t="s">
        <v>18</v>
      </c>
      <c r="B35" s="41">
        <v>0</v>
      </c>
      <c r="C35" s="22">
        <v>0</v>
      </c>
      <c r="D35" s="22">
        <v>0</v>
      </c>
      <c r="E35" s="21">
        <f>SUM(C35+D35+Aug!E39-Aug!D39)</f>
        <v>0</v>
      </c>
      <c r="F35" s="8"/>
      <c r="G35" s="21">
        <f>B35-E35</f>
        <v>0</v>
      </c>
      <c r="H35" s="26" t="e">
        <f>E35/B35</f>
        <v>#DIV/0!</v>
      </c>
      <c r="I35" s="28"/>
    </row>
    <row r="36" spans="1:9" s="32" customFormat="1" x14ac:dyDescent="0.2">
      <c r="A36" s="20"/>
      <c r="B36" s="41"/>
      <c r="C36" s="22"/>
      <c r="D36" s="22"/>
      <c r="E36" s="21"/>
      <c r="F36" s="8"/>
      <c r="G36" s="21"/>
      <c r="H36" s="26"/>
      <c r="I36" s="28"/>
    </row>
    <row r="37" spans="1:9" x14ac:dyDescent="0.2">
      <c r="A37" s="20" t="s">
        <v>25</v>
      </c>
      <c r="B37" s="41"/>
      <c r="C37" s="22"/>
      <c r="D37" s="22"/>
      <c r="E37" s="21"/>
      <c r="F37" s="8"/>
      <c r="G37" s="21"/>
      <c r="H37" s="26"/>
      <c r="I37" s="28"/>
    </row>
    <row r="38" spans="1:9" x14ac:dyDescent="0.2">
      <c r="A38" s="43" t="s">
        <v>17</v>
      </c>
      <c r="B38" s="49">
        <v>95805.37</v>
      </c>
      <c r="C38" s="49">
        <v>7355.6</v>
      </c>
      <c r="D38" s="49">
        <v>0</v>
      </c>
      <c r="E38" s="44">
        <f>SUM(C38+D38+Aug!E42)</f>
        <v>12546.77</v>
      </c>
      <c r="F38" s="50"/>
      <c r="G38" s="44">
        <f>B38-E38</f>
        <v>83258.599999999991</v>
      </c>
      <c r="H38" s="46">
        <f>E38/B38</f>
        <v>0.13096103068126558</v>
      </c>
      <c r="I38" s="28"/>
    </row>
    <row r="39" spans="1:9" x14ac:dyDescent="0.2">
      <c r="A39" s="20" t="s">
        <v>18</v>
      </c>
      <c r="B39" s="41">
        <v>-95805.37</v>
      </c>
      <c r="C39" s="22">
        <v>-3022.63</v>
      </c>
      <c r="D39" s="22">
        <v>0</v>
      </c>
      <c r="E39" s="21">
        <f>SUM(C39+D39+Aug!E43-Aug!D43)</f>
        <v>-22031.71</v>
      </c>
      <c r="F39" s="8"/>
      <c r="G39" s="21">
        <f>B39-E39</f>
        <v>-73773.66</v>
      </c>
      <c r="H39" s="26">
        <f>E39/B39</f>
        <v>0.22996320561154349</v>
      </c>
      <c r="I39" s="28"/>
    </row>
    <row r="40" spans="1:9" x14ac:dyDescent="0.2">
      <c r="A40" s="20"/>
      <c r="B40" s="41"/>
      <c r="C40" s="22"/>
      <c r="D40" s="22"/>
      <c r="E40" s="21"/>
      <c r="F40" s="8"/>
      <c r="G40" s="21"/>
      <c r="H40" s="26"/>
      <c r="I40" s="28"/>
    </row>
    <row r="41" spans="1:9" x14ac:dyDescent="0.2">
      <c r="A41" s="20" t="s">
        <v>26</v>
      </c>
      <c r="B41" s="41"/>
      <c r="C41" s="22"/>
      <c r="D41" s="22"/>
      <c r="E41" s="21"/>
      <c r="F41" s="8"/>
      <c r="G41" s="21"/>
      <c r="H41" s="26"/>
      <c r="I41" s="28"/>
    </row>
    <row r="42" spans="1:9" s="31" customFormat="1" x14ac:dyDescent="0.2">
      <c r="A42" s="43" t="s">
        <v>17</v>
      </c>
      <c r="B42" s="49">
        <v>6700</v>
      </c>
      <c r="C42" s="49">
        <v>0</v>
      </c>
      <c r="D42" s="49">
        <v>0</v>
      </c>
      <c r="E42" s="44">
        <f>SUM(C42+D42+Aug!E46)</f>
        <v>0</v>
      </c>
      <c r="F42" s="50"/>
      <c r="G42" s="44">
        <f>B42-E42</f>
        <v>6700</v>
      </c>
      <c r="H42" s="46">
        <f>E42/B42</f>
        <v>0</v>
      </c>
      <c r="I42" s="28"/>
    </row>
    <row r="43" spans="1:9" s="31" customFormat="1" x14ac:dyDescent="0.2">
      <c r="A43" s="20" t="s">
        <v>18</v>
      </c>
      <c r="B43" s="41">
        <v>-74979</v>
      </c>
      <c r="C43" s="22">
        <v>0</v>
      </c>
      <c r="D43" s="22">
        <v>0</v>
      </c>
      <c r="E43" s="21">
        <f>SUM(C43+D43+Aug!E47-Aug!D47)</f>
        <v>0</v>
      </c>
      <c r="F43" s="8"/>
      <c r="G43" s="21">
        <f>B43-E43</f>
        <v>-74979</v>
      </c>
      <c r="H43" s="26">
        <f>E43/B43</f>
        <v>0</v>
      </c>
      <c r="I43" s="28"/>
    </row>
    <row r="44" spans="1:9" s="31" customFormat="1" x14ac:dyDescent="0.2">
      <c r="A44" s="20"/>
      <c r="B44" s="41"/>
      <c r="C44" s="22"/>
      <c r="D44" s="22"/>
      <c r="E44" s="21"/>
      <c r="F44" s="8"/>
      <c r="G44" s="21"/>
      <c r="H44" s="26"/>
      <c r="I44" s="28"/>
    </row>
    <row r="45" spans="1:9" s="31" customFormat="1" x14ac:dyDescent="0.2">
      <c r="A45" s="20" t="s">
        <v>27</v>
      </c>
      <c r="B45" s="41"/>
      <c r="C45" s="22"/>
      <c r="D45" s="22"/>
      <c r="E45" s="21"/>
      <c r="F45" s="8"/>
      <c r="G45" s="21"/>
      <c r="H45" s="26"/>
      <c r="I45" s="28"/>
    </row>
    <row r="46" spans="1:9" s="31" customFormat="1" x14ac:dyDescent="0.2">
      <c r="A46" s="43" t="s">
        <v>17</v>
      </c>
      <c r="B46" s="49">
        <v>138887</v>
      </c>
      <c r="C46" s="49">
        <v>0</v>
      </c>
      <c r="D46" s="49">
        <v>0</v>
      </c>
      <c r="E46" s="44">
        <f>SUM(C46+D46+Aug!E50)</f>
        <v>-133301</v>
      </c>
      <c r="F46" s="50"/>
      <c r="G46" s="44">
        <f>B46-E46</f>
        <v>272188</v>
      </c>
      <c r="H46" s="46">
        <f>E46/B46</f>
        <v>-0.95978025301144099</v>
      </c>
      <c r="I46" s="28"/>
    </row>
    <row r="47" spans="1:9" s="31" customFormat="1" x14ac:dyDescent="0.2">
      <c r="A47" s="20" t="s">
        <v>18</v>
      </c>
      <c r="B47" s="41">
        <v>-133212.5</v>
      </c>
      <c r="C47" s="22">
        <v>0</v>
      </c>
      <c r="D47" s="22">
        <v>0</v>
      </c>
      <c r="E47" s="21">
        <f>SUM(C47+D47+Aug!E51-Aug!D51)</f>
        <v>-14506.25</v>
      </c>
      <c r="F47" s="8"/>
      <c r="G47" s="21">
        <f>B47-E47</f>
        <v>-118706.25</v>
      </c>
      <c r="H47" s="26">
        <f>E47/B47</f>
        <v>0.10889556160270245</v>
      </c>
      <c r="I47" s="28"/>
    </row>
    <row r="48" spans="1:9" s="31" customFormat="1" x14ac:dyDescent="0.2">
      <c r="A48" s="20"/>
      <c r="B48" s="41"/>
      <c r="C48" s="22"/>
      <c r="D48" s="22"/>
      <c r="E48" s="21"/>
      <c r="F48" s="8"/>
      <c r="G48" s="21"/>
      <c r="H48" s="26"/>
      <c r="I48" s="28"/>
    </row>
    <row r="49" spans="1:9" s="31" customFormat="1" x14ac:dyDescent="0.2">
      <c r="A49" s="20"/>
      <c r="B49" s="41"/>
      <c r="C49" s="22"/>
      <c r="D49" s="22"/>
      <c r="E49" s="20"/>
      <c r="F49" s="5"/>
      <c r="G49" s="20"/>
      <c r="H49" s="26"/>
      <c r="I49" s="28"/>
    </row>
    <row r="50" spans="1:9" s="31" customFormat="1" x14ac:dyDescent="0.2">
      <c r="A50" s="23" t="s">
        <v>28</v>
      </c>
      <c r="B50" s="41">
        <f>SUM(B10+B14+B18+B26+B30+B34+B38+B42+B46)</f>
        <v>12213682.289999999</v>
      </c>
      <c r="C50" s="22">
        <f>SUM(C10+C14+C18+C26+C34+C38+C30+C42+C46+C22)</f>
        <v>949472.96</v>
      </c>
      <c r="D50" s="22">
        <f>SUM(D10+D14+D18+D26+D30+D34+D38+D42+D46)</f>
        <v>0</v>
      </c>
      <c r="E50" s="22">
        <f>E10+E14+E18+E26+E30+E48+E34+E38+E42+E46+E22</f>
        <v>3488970.830000001</v>
      </c>
      <c r="F50" s="8"/>
      <c r="G50" s="22">
        <f>G10+G14+G18+G26+G30+G48+G34+G38+G42+G46+G22</f>
        <v>8724711.459999999</v>
      </c>
      <c r="H50" s="26">
        <f>E50/B50</f>
        <v>0.28566084716782014</v>
      </c>
      <c r="I50" s="28"/>
    </row>
    <row r="51" spans="1:9" s="31" customFormat="1" x14ac:dyDescent="0.2">
      <c r="A51" s="24" t="s">
        <v>29</v>
      </c>
      <c r="B51" s="41">
        <f>SUM(B11+B15+B19+B27+B31+B35+B39+B43+B47+B23)</f>
        <v>-12102340.529999999</v>
      </c>
      <c r="C51" s="22">
        <f>C11+C15+C19+C27+C31+C49+C35+C39+C43+C47+C23</f>
        <v>-886642.53</v>
      </c>
      <c r="D51" s="22">
        <f>SUM(D11+D19+D39+D15+D23+D27+D31+D35+D43+D47)</f>
        <v>-165844.47</v>
      </c>
      <c r="E51" s="22">
        <f>E11+E15+E19+E27+E31+E49+E35+E39+E43+E47+E23</f>
        <v>-4091661.5900000003</v>
      </c>
      <c r="F51" s="8"/>
      <c r="G51" s="22">
        <f>G11+G15+G19+G27+G31+G49+G35+G39+G43+G47+G23</f>
        <v>-8010678.9399999995</v>
      </c>
      <c r="H51" s="26">
        <f>E51/B51</f>
        <v>0.33808845320930664</v>
      </c>
      <c r="I51" s="28"/>
    </row>
    <row r="52" spans="1:9" x14ac:dyDescent="0.2">
      <c r="A52" s="5"/>
      <c r="B52" s="35"/>
      <c r="C52" s="5"/>
      <c r="D52" s="5"/>
      <c r="E52" s="5"/>
      <c r="F52" s="5"/>
      <c r="G52" s="5"/>
      <c r="H52" s="14"/>
      <c r="I52" s="28"/>
    </row>
    <row r="53" spans="1:9" ht="16.5" x14ac:dyDescent="0.3">
      <c r="A53" s="105"/>
      <c r="B53" s="105"/>
      <c r="C53" s="105"/>
      <c r="D53" s="105"/>
      <c r="E53" s="105"/>
      <c r="F53" s="105"/>
      <c r="G53" s="105"/>
      <c r="H53" s="105"/>
      <c r="I53" s="28"/>
    </row>
    <row r="54" spans="1:9" x14ac:dyDescent="0.2">
      <c r="A54" s="2"/>
      <c r="I54" s="28"/>
    </row>
    <row r="55" spans="1:9" x14ac:dyDescent="0.2">
      <c r="A55" s="2"/>
      <c r="I55" s="28"/>
    </row>
    <row r="56" spans="1:9" ht="23.25" x14ac:dyDescent="0.35">
      <c r="D56" s="6"/>
      <c r="E56" s="3"/>
      <c r="F56" s="3"/>
      <c r="G56" s="53"/>
      <c r="H56"/>
      <c r="I56" s="28"/>
    </row>
    <row r="57" spans="1:9" x14ac:dyDescent="0.2">
      <c r="A57" s="38"/>
      <c r="B57" s="39"/>
      <c r="C57" s="39"/>
      <c r="D57" s="6"/>
      <c r="E57" s="3"/>
      <c r="F57" s="3"/>
      <c r="G57"/>
      <c r="H57"/>
      <c r="I57" s="28"/>
    </row>
    <row r="58" spans="1:9" ht="15.75" x14ac:dyDescent="0.25">
      <c r="A58" s="38"/>
      <c r="B58" s="39"/>
      <c r="C58" s="39"/>
      <c r="D58" s="8"/>
      <c r="E58" s="4"/>
      <c r="F58" s="4"/>
      <c r="G58" s="54"/>
      <c r="H58" s="54"/>
      <c r="I58" s="28"/>
    </row>
    <row r="59" spans="1:9" ht="15.75" x14ac:dyDescent="0.25">
      <c r="A59" s="40"/>
      <c r="B59" s="52"/>
      <c r="C59" s="52"/>
      <c r="D59" s="8"/>
      <c r="E59" s="4"/>
      <c r="F59" s="4"/>
      <c r="G59" s="55"/>
      <c r="H59" s="56"/>
      <c r="I59" s="28"/>
    </row>
    <row r="60" spans="1:9" ht="15.75" x14ac:dyDescent="0.25">
      <c r="A60" s="40"/>
      <c r="B60" s="52"/>
      <c r="C60" s="52"/>
      <c r="D60" s="8"/>
      <c r="E60" s="4"/>
      <c r="F60" s="4"/>
      <c r="G60" s="55"/>
      <c r="H60" s="56"/>
      <c r="I60" s="28"/>
    </row>
    <row r="61" spans="1:9" ht="15.75" x14ac:dyDescent="0.25">
      <c r="A61" s="40"/>
      <c r="B61" s="52"/>
      <c r="C61" s="52"/>
      <c r="D61" s="8"/>
      <c r="E61" s="4"/>
      <c r="F61" s="4"/>
      <c r="G61" s="55"/>
      <c r="H61" s="56"/>
      <c r="I61" s="28"/>
    </row>
    <row r="62" spans="1:9" ht="15.75" x14ac:dyDescent="0.25">
      <c r="A62" s="40"/>
      <c r="B62" s="52"/>
      <c r="C62" s="52"/>
      <c r="D62" s="8"/>
      <c r="G62" s="55"/>
      <c r="H62" s="56"/>
      <c r="I62" s="28"/>
    </row>
    <row r="63" spans="1:9" ht="15.75" x14ac:dyDescent="0.25">
      <c r="A63" s="40"/>
      <c r="B63" s="52"/>
      <c r="C63" s="52"/>
      <c r="D63" s="8"/>
      <c r="E63" s="4"/>
      <c r="F63" s="4"/>
      <c r="G63" s="55"/>
      <c r="H63" s="56"/>
      <c r="I63" s="28"/>
    </row>
    <row r="64" spans="1:9" ht="15.75" x14ac:dyDescent="0.25">
      <c r="A64" s="40"/>
      <c r="B64" s="52"/>
      <c r="C64" s="52"/>
      <c r="D64" s="8"/>
      <c r="E64" s="4"/>
      <c r="F64" s="4"/>
      <c r="G64" s="55"/>
      <c r="H64" s="56"/>
      <c r="I64" s="28"/>
    </row>
    <row r="65" spans="1:9" ht="15.75" x14ac:dyDescent="0.25">
      <c r="A65" s="40"/>
      <c r="B65" s="52"/>
      <c r="C65" s="52"/>
      <c r="D65" s="8"/>
      <c r="G65" s="55"/>
      <c r="H65" s="56"/>
      <c r="I65" s="28"/>
    </row>
    <row r="66" spans="1:9" ht="15.75" x14ac:dyDescent="0.25">
      <c r="A66" s="20"/>
      <c r="B66" s="52"/>
      <c r="C66" s="52"/>
      <c r="D66" s="8"/>
      <c r="E66" s="4"/>
      <c r="F66" s="4"/>
      <c r="G66" s="55"/>
      <c r="H66" s="56"/>
      <c r="I66" s="28"/>
    </row>
    <row r="67" spans="1:9" ht="15.75" x14ac:dyDescent="0.25">
      <c r="A67" s="20"/>
      <c r="B67" s="52"/>
      <c r="C67" s="52"/>
      <c r="G67" s="55"/>
      <c r="H67" s="56"/>
      <c r="I67" s="28"/>
    </row>
    <row r="68" spans="1:9" ht="16.5" thickBot="1" x14ac:dyDescent="0.3">
      <c r="A68" s="20"/>
      <c r="B68" s="52"/>
      <c r="C68" s="52"/>
      <c r="G68"/>
      <c r="H68" s="57"/>
      <c r="I68" s="28"/>
    </row>
    <row r="69" spans="1:9" ht="15.75" thickTop="1" x14ac:dyDescent="0.2">
      <c r="A69" s="20"/>
      <c r="B69" s="52"/>
      <c r="C69" s="52"/>
      <c r="I69" s="28"/>
    </row>
    <row r="70" spans="1:9" x14ac:dyDescent="0.2">
      <c r="A70" s="20"/>
      <c r="B70" s="52"/>
      <c r="C70" s="52"/>
      <c r="I70" s="28"/>
    </row>
    <row r="71" spans="1:9" x14ac:dyDescent="0.2">
      <c r="A71" s="20"/>
      <c r="B71" s="52"/>
      <c r="C71" s="52"/>
      <c r="I71" s="28"/>
    </row>
    <row r="72" spans="1:9" x14ac:dyDescent="0.2">
      <c r="A72" s="20"/>
      <c r="B72" s="52"/>
      <c r="C72" s="52"/>
      <c r="I72" s="28"/>
    </row>
    <row r="73" spans="1:9" x14ac:dyDescent="0.2">
      <c r="A73" s="20"/>
      <c r="B73" s="52"/>
      <c r="C73" s="52"/>
      <c r="I73" s="28"/>
    </row>
    <row r="74" spans="1:9" x14ac:dyDescent="0.2">
      <c r="A74" s="63"/>
      <c r="B74" s="64"/>
      <c r="C74" s="64"/>
      <c r="I74" s="28"/>
    </row>
    <row r="75" spans="1:9" ht="17.25" x14ac:dyDescent="0.35">
      <c r="A75" s="42"/>
      <c r="B75" s="65"/>
      <c r="C75" s="65"/>
      <c r="I75" s="28"/>
    </row>
  </sheetData>
  <mergeCells count="3">
    <mergeCell ref="A53:H53"/>
    <mergeCell ref="A1:H1"/>
    <mergeCell ref="A2:H2"/>
  </mergeCells>
  <phoneticPr fontId="3" type="noConversion"/>
  <pageMargins left="0.5" right="0.5" top="0.5" bottom="0.5" header="0.5" footer="0.5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49" zoomScaleNormal="100" workbookViewId="0">
      <selection activeCell="A56" sqref="A56:B81"/>
    </sheetView>
  </sheetViews>
  <sheetFormatPr defaultColWidth="11.44140625" defaultRowHeight="12.75" x14ac:dyDescent="0.2"/>
  <cols>
    <col min="1" max="1" width="25.21875" style="1" customWidth="1"/>
    <col min="2" max="3" width="13.6640625" style="1" customWidth="1"/>
    <col min="4" max="4" width="10.44140625" style="1" customWidth="1"/>
    <col min="5" max="5" width="12.33203125" style="1" customWidth="1"/>
    <col min="6" max="6" width="2.77734375" style="1" customWidth="1"/>
    <col min="7" max="7" width="16" style="1" customWidth="1"/>
    <col min="8" max="8" width="13.5546875" style="10" customWidth="1"/>
    <col min="9" max="10" width="15.77734375" style="1" customWidth="1"/>
    <col min="11" max="13" width="13.77734375" style="1" customWidth="1"/>
    <col min="14" max="16384" width="11.4414062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42278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5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9372468.9199999999</v>
      </c>
      <c r="C11" s="44">
        <v>1688546.87</v>
      </c>
      <c r="D11" s="44">
        <v>0</v>
      </c>
      <c r="E11" s="44">
        <f>SUM(C11+D11+Sep!E10)</f>
        <v>6684016.8600000003</v>
      </c>
      <c r="F11" s="45"/>
      <c r="G11" s="44">
        <f>B11-E11</f>
        <v>2688452.0599999996</v>
      </c>
      <c r="H11" s="46">
        <f>E11/B11</f>
        <v>0.71315433713916232</v>
      </c>
    </row>
    <row r="12" spans="1:8" x14ac:dyDescent="0.2">
      <c r="A12" s="20" t="s">
        <v>18</v>
      </c>
      <c r="B12" s="51">
        <v>-9201158.3399999999</v>
      </c>
      <c r="C12" s="21">
        <v>-845768.37</v>
      </c>
      <c r="D12" s="21">
        <v>-16703.87</v>
      </c>
      <c r="E12" s="21">
        <f>SUM(C12+D12+Sep!E11-Sep!D11)</f>
        <v>-2198936.73</v>
      </c>
      <c r="F12" s="7"/>
      <c r="G12" s="21">
        <f>B12-E12</f>
        <v>-7002221.6099999994</v>
      </c>
      <c r="H12" s="26">
        <f>E12/B12</f>
        <v>0.23898477221510353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377050</v>
      </c>
      <c r="C15" s="44">
        <v>21269.06</v>
      </c>
      <c r="D15" s="44">
        <v>0</v>
      </c>
      <c r="E15" s="44">
        <f>SUM(C15+D15+Sep!E14)</f>
        <v>40375.21</v>
      </c>
      <c r="F15" s="45"/>
      <c r="G15" s="44">
        <f>B15-E15</f>
        <v>336674.79</v>
      </c>
      <c r="H15" s="46">
        <f>E15/B15</f>
        <v>0.10708184590903062</v>
      </c>
    </row>
    <row r="16" spans="1:8" x14ac:dyDescent="0.2">
      <c r="A16" s="20" t="s">
        <v>18</v>
      </c>
      <c r="B16" s="51">
        <v>-453158</v>
      </c>
      <c r="C16" s="21">
        <v>-59372.5</v>
      </c>
      <c r="D16" s="21">
        <v>0</v>
      </c>
      <c r="E16" s="21">
        <f>SUM(C16+D16+Sep!E15-Sep!D15)</f>
        <v>-106574.26000000001</v>
      </c>
      <c r="F16" s="7"/>
      <c r="G16" s="21">
        <f>B16-E16</f>
        <v>-346583.74</v>
      </c>
      <c r="H16" s="26">
        <f>E16/B16</f>
        <v>0.23518123921457859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223604</v>
      </c>
      <c r="C19" s="44">
        <v>7087.7</v>
      </c>
      <c r="D19" s="44">
        <v>0</v>
      </c>
      <c r="E19" s="44">
        <f>SUM(C19+D19+Sep!E18)</f>
        <v>-15135.729999999992</v>
      </c>
      <c r="F19" s="45"/>
      <c r="G19" s="44">
        <f>B19-E19</f>
        <v>238739.72999999998</v>
      </c>
      <c r="H19" s="46">
        <f>E19/B19</f>
        <v>-6.7689889268528258E-2</v>
      </c>
    </row>
    <row r="20" spans="1:8" x14ac:dyDescent="0.2">
      <c r="A20" s="20" t="s">
        <v>18</v>
      </c>
      <c r="B20" s="51">
        <v>-239333.32</v>
      </c>
      <c r="C20" s="21">
        <v>-58273.94</v>
      </c>
      <c r="D20" s="21">
        <v>-250.37</v>
      </c>
      <c r="E20" s="21">
        <f>SUM(C20+D20+Sep!E19-Sep!D19)</f>
        <v>-106456.00000000001</v>
      </c>
      <c r="F20" s="7"/>
      <c r="G20" s="21">
        <f>B20-E20</f>
        <v>-132877.32</v>
      </c>
      <c r="H20" s="26">
        <f>E20/B20</f>
        <v>0.44480225319232614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30.33</v>
      </c>
      <c r="D23" s="44">
        <v>0</v>
      </c>
      <c r="E23" s="44">
        <f>SUM(D23+C23+Sep!E22)</f>
        <v>37299.680000000008</v>
      </c>
      <c r="F23" s="45"/>
      <c r="G23" s="44">
        <f>SUM(B23-E23)</f>
        <v>-37299.680000000008</v>
      </c>
      <c r="H23" s="46">
        <v>0</v>
      </c>
    </row>
    <row r="24" spans="1:8" x14ac:dyDescent="0.2">
      <c r="A24" s="20" t="s">
        <v>18</v>
      </c>
      <c r="B24" s="51">
        <v>0</v>
      </c>
      <c r="C24" s="21">
        <v>-2631064.23</v>
      </c>
      <c r="D24" s="21">
        <v>-165868.74</v>
      </c>
      <c r="E24" s="21">
        <f>SUM(D24+C24+Sep!E23-Sep!D23)</f>
        <v>-4776416.6999999993</v>
      </c>
      <c r="F24" s="7"/>
      <c r="G24" s="21">
        <f>SUM(B24-E24)</f>
        <v>4776416.6999999993</v>
      </c>
      <c r="H24" s="66" t="e">
        <f>SUM(E24/B24)</f>
        <v>#DIV/0!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1988367</v>
      </c>
      <c r="C27" s="49">
        <v>11124.8</v>
      </c>
      <c r="D27" s="49">
        <v>0</v>
      </c>
      <c r="E27" s="44">
        <f>SUM(C27+D27+Sep!E26)</f>
        <v>-1418662.2</v>
      </c>
      <c r="F27" s="50"/>
      <c r="G27" s="44">
        <f>B27-E27</f>
        <v>3407029.2</v>
      </c>
      <c r="H27" s="46">
        <f>E27/B27</f>
        <v>-0.7134810626006165</v>
      </c>
    </row>
    <row r="28" spans="1:8" x14ac:dyDescent="0.2">
      <c r="A28" s="20" t="s">
        <v>18</v>
      </c>
      <c r="B28" s="41">
        <v>-1893894</v>
      </c>
      <c r="C28" s="22">
        <v>0</v>
      </c>
      <c r="D28" s="22">
        <v>0</v>
      </c>
      <c r="E28" s="21">
        <f>SUM(C28+D28+Sep!E27-Sep!D27)</f>
        <v>-476947.49</v>
      </c>
      <c r="F28" s="8"/>
      <c r="G28" s="21">
        <f>B28-E28</f>
        <v>-1416946.51</v>
      </c>
      <c r="H28" s="26">
        <f>E28/B28</f>
        <v>0.25183431068475848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715</v>
      </c>
      <c r="D31" s="49">
        <v>0</v>
      </c>
      <c r="E31" s="44">
        <f>SUM(C31+D31+Sep!E30)</f>
        <v>10605</v>
      </c>
      <c r="F31" s="50"/>
      <c r="G31" s="44">
        <f>B31-E31</f>
        <v>195</v>
      </c>
      <c r="H31" s="46">
        <f>E31/B31</f>
        <v>0.9819444444444444</v>
      </c>
    </row>
    <row r="32" spans="1:8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SUM(C32+D32+Sep!E31)</f>
        <v>-1250</v>
      </c>
      <c r="F32" s="8"/>
      <c r="G32" s="21">
        <f>B32-E32</f>
        <v>-9550</v>
      </c>
      <c r="H32" s="26">
        <f>E32/B32</f>
        <v>0.11574074074074074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0</v>
      </c>
      <c r="C35" s="49">
        <v>0</v>
      </c>
      <c r="D35" s="49">
        <v>0</v>
      </c>
      <c r="E35" s="44">
        <f>SUM(C35+D35+Sep!E34)</f>
        <v>0</v>
      </c>
      <c r="F35" s="50"/>
      <c r="G35" s="44">
        <f>B35-E35</f>
        <v>0</v>
      </c>
      <c r="H35" s="46" t="e">
        <f>E35/B35</f>
        <v>#DIV/0!</v>
      </c>
    </row>
    <row r="36" spans="1:8" x14ac:dyDescent="0.2">
      <c r="A36" s="20" t="s">
        <v>18</v>
      </c>
      <c r="B36" s="41">
        <v>0</v>
      </c>
      <c r="C36" s="22">
        <v>0</v>
      </c>
      <c r="D36" s="22">
        <v>0</v>
      </c>
      <c r="E36" s="21">
        <f>SUM(C36+D36+Sep!E35-Sep!D35)</f>
        <v>0</v>
      </c>
      <c r="F36" s="8"/>
      <c r="G36" s="21">
        <f>B36-E36</f>
        <v>0</v>
      </c>
      <c r="H36" s="26" t="e">
        <f>E36/B36</f>
        <v>#DIV/0!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23515.58</v>
      </c>
      <c r="D39" s="49">
        <v>0</v>
      </c>
      <c r="E39" s="44">
        <f>SUM(C39+D39+Sep!E38)</f>
        <v>36062.350000000006</v>
      </c>
      <c r="F39" s="50"/>
      <c r="G39" s="44">
        <f>B39-E39</f>
        <v>59743.01999999999</v>
      </c>
      <c r="H39" s="46">
        <f>E39/B39</f>
        <v>0.37641261653704805</v>
      </c>
    </row>
    <row r="40" spans="1:8" x14ac:dyDescent="0.2">
      <c r="A40" s="20" t="s">
        <v>18</v>
      </c>
      <c r="B40" s="41">
        <v>-95805.37</v>
      </c>
      <c r="C40" s="22">
        <v>-18417.16</v>
      </c>
      <c r="D40" s="22">
        <v>-1572.8</v>
      </c>
      <c r="E40" s="21">
        <f>SUM(D40+C40+Sep!E39)</f>
        <v>-42021.67</v>
      </c>
      <c r="F40" s="8"/>
      <c r="G40" s="21">
        <f>B40-E40</f>
        <v>-53783.7</v>
      </c>
      <c r="H40" s="26">
        <f>E40/B40</f>
        <v>0.43861497534010879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952.69</v>
      </c>
      <c r="D43" s="49">
        <v>0</v>
      </c>
      <c r="E43" s="44">
        <f>SUM(C43+D43+Sep!E42)</f>
        <v>952.69</v>
      </c>
      <c r="F43" s="50"/>
      <c r="G43" s="44">
        <f>B43-E43</f>
        <v>5747.3099999999995</v>
      </c>
      <c r="H43" s="46">
        <f>E43/B43</f>
        <v>0.14219253731343284</v>
      </c>
    </row>
    <row r="44" spans="1:8" x14ac:dyDescent="0.2">
      <c r="A44" s="20" t="s">
        <v>18</v>
      </c>
      <c r="B44" s="41">
        <v>-74979</v>
      </c>
      <c r="C44" s="22">
        <v>0</v>
      </c>
      <c r="D44" s="22">
        <v>0</v>
      </c>
      <c r="E44" s="21">
        <f>SUM(C44+D44+Sep!E43-Sep!D43)</f>
        <v>0</v>
      </c>
      <c r="F44" s="8"/>
      <c r="G44" s="21">
        <f>B44-E44</f>
        <v>-74979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138887</v>
      </c>
      <c r="C47" s="49">
        <v>129.88</v>
      </c>
      <c r="D47" s="49">
        <v>0</v>
      </c>
      <c r="E47" s="44">
        <f>SUM(C47+D47+Sep!E46)</f>
        <v>-133171.12</v>
      </c>
      <c r="F47" s="50"/>
      <c r="G47" s="44">
        <f>B47-E47</f>
        <v>272058.12</v>
      </c>
      <c r="H47" s="46">
        <f>E47/B47</f>
        <v>-0.9588451042934184</v>
      </c>
    </row>
    <row r="48" spans="1:8" x14ac:dyDescent="0.2">
      <c r="A48" s="20" t="s">
        <v>18</v>
      </c>
      <c r="B48" s="41">
        <v>-133212.5</v>
      </c>
      <c r="C48" s="22">
        <v>0</v>
      </c>
      <c r="D48" s="22">
        <v>0</v>
      </c>
      <c r="E48" s="21">
        <f>SUM(C48+D48+Sep!E47-Sep!D47)</f>
        <v>-14506.25</v>
      </c>
      <c r="F48" s="8"/>
      <c r="G48" s="21">
        <f>B48-E48</f>
        <v>-118706.25</v>
      </c>
      <c r="H48" s="26">
        <f>E48/B48</f>
        <v>0.10889556160270245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SUM(B11+B15+B19+B27+B31+B35+B39+B43+B47)</f>
        <v>12213682.289999999</v>
      </c>
      <c r="C51" s="49">
        <f>SUM(C11+C15+C19+C23+C27+C31+C35+C39+C43+C47)</f>
        <v>1753371.9100000001</v>
      </c>
      <c r="D51" s="49">
        <f>SUM(D11+D15+D19+D27+D31+D35+D39+D43+D47)</f>
        <v>0</v>
      </c>
      <c r="E51" s="49">
        <f>E11+E15+E19+E27+E31+E49+E35+E39+E43+E47+E23</f>
        <v>5242342.7399999993</v>
      </c>
      <c r="F51" s="50"/>
      <c r="G51" s="49">
        <f>G11+G15+G19+G27+G31+G49+G35+G39+G43+G47+G23</f>
        <v>6971339.5499999989</v>
      </c>
      <c r="H51" s="46">
        <f>E51/B51</f>
        <v>0.42921885599498427</v>
      </c>
    </row>
    <row r="52" spans="1:8" x14ac:dyDescent="0.2">
      <c r="A52" s="24" t="s">
        <v>29</v>
      </c>
      <c r="B52" s="41">
        <f>SUM(B12+B16+B20+B28+B32+B36+B40+B44+B48+B24)</f>
        <v>-12102340.529999999</v>
      </c>
      <c r="C52" s="22">
        <f>SUM(C48+C44+C40+C36+C32+C28+C24+C20+C16+C12)</f>
        <v>-3612896.2</v>
      </c>
      <c r="D52" s="22">
        <f>SUM(D12+D16+D20+D24+D28+D32+D36+D40+D44+D48)</f>
        <v>-184395.77999999997</v>
      </c>
      <c r="E52" s="22">
        <f>SUM(E12+E16+E20+E24+E28+E32+E36+E40+E44+E48)</f>
        <v>-7723109.0999999996</v>
      </c>
      <c r="F52" s="8"/>
      <c r="G52" s="22">
        <f>G12+G16+G20+G28+G32+G50+G36+G40+G44+G48+G24</f>
        <v>-4379231.43</v>
      </c>
      <c r="H52" s="26">
        <f>E52/B52</f>
        <v>0.63815004055252778</v>
      </c>
    </row>
    <row r="53" spans="1:8" x14ac:dyDescent="0.2">
      <c r="A53" s="5"/>
      <c r="B53" s="35"/>
      <c r="C53" s="5"/>
      <c r="D53" s="5"/>
      <c r="E53" s="5"/>
      <c r="F53" s="5"/>
      <c r="G53" s="5"/>
      <c r="H53" s="14"/>
    </row>
    <row r="54" spans="1:8" x14ac:dyDescent="0.2">
      <c r="A54" s="2" t="s">
        <v>30</v>
      </c>
    </row>
    <row r="55" spans="1:8" ht="23.25" x14ac:dyDescent="0.35">
      <c r="C55" s="5"/>
      <c r="D55" s="6"/>
      <c r="E55" s="3"/>
      <c r="F55" s="3"/>
      <c r="G55" s="53" t="s">
        <v>31</v>
      </c>
      <c r="H55"/>
    </row>
    <row r="56" spans="1:8" ht="15" x14ac:dyDescent="0.2">
      <c r="A56" s="96"/>
      <c r="B56" s="39" t="s">
        <v>11</v>
      </c>
      <c r="C56" s="79"/>
      <c r="D56" s="6"/>
      <c r="E56" s="3"/>
      <c r="F56" s="3"/>
      <c r="G56"/>
      <c r="H56"/>
    </row>
    <row r="57" spans="1:8" ht="15.75" x14ac:dyDescent="0.25">
      <c r="A57" s="96" t="s">
        <v>32</v>
      </c>
      <c r="B57" s="39" t="s">
        <v>33</v>
      </c>
      <c r="C57" s="79"/>
      <c r="D57" s="8"/>
      <c r="E57" s="4"/>
      <c r="F57" s="4"/>
      <c r="G57" s="54" t="s">
        <v>34</v>
      </c>
      <c r="H57" s="77" t="s">
        <v>35</v>
      </c>
    </row>
    <row r="58" spans="1:8" ht="15" x14ac:dyDescent="0.25">
      <c r="A58" s="97" t="s">
        <v>36</v>
      </c>
      <c r="B58" s="52">
        <v>546477.47</v>
      </c>
      <c r="C58" s="12"/>
      <c r="D58" s="8"/>
      <c r="E58" s="4"/>
      <c r="F58" s="4"/>
      <c r="G58" s="55" t="s">
        <v>37</v>
      </c>
      <c r="H58" s="67">
        <v>17456.98</v>
      </c>
    </row>
    <row r="59" spans="1:8" ht="15" x14ac:dyDescent="0.25">
      <c r="A59" s="97" t="s">
        <v>38</v>
      </c>
      <c r="B59" s="52">
        <v>69804.320000000007</v>
      </c>
      <c r="C59" s="12"/>
      <c r="D59" s="8"/>
      <c r="E59" s="4"/>
      <c r="F59" s="4"/>
      <c r="G59" s="55" t="s">
        <v>39</v>
      </c>
      <c r="H59" s="67">
        <v>15290.56</v>
      </c>
    </row>
    <row r="60" spans="1:8" ht="15" x14ac:dyDescent="0.25">
      <c r="A60" s="97" t="s">
        <v>40</v>
      </c>
      <c r="B60" s="52">
        <v>44675.46</v>
      </c>
      <c r="C60" s="12"/>
      <c r="D60" s="8"/>
      <c r="E60" s="4"/>
      <c r="F60" s="4"/>
      <c r="G60" s="55" t="s">
        <v>41</v>
      </c>
      <c r="H60" s="67">
        <v>292090.08</v>
      </c>
    </row>
    <row r="61" spans="1:8" ht="15" x14ac:dyDescent="0.25">
      <c r="A61" s="97" t="s">
        <v>42</v>
      </c>
      <c r="B61" s="52">
        <v>5100</v>
      </c>
      <c r="C61" s="12"/>
      <c r="D61" s="8"/>
      <c r="G61" s="55" t="s">
        <v>43</v>
      </c>
      <c r="H61" s="67">
        <v>113332.5</v>
      </c>
    </row>
    <row r="62" spans="1:8" ht="15" x14ac:dyDescent="0.25">
      <c r="A62" s="97" t="s">
        <v>44</v>
      </c>
      <c r="B62" s="52">
        <v>8203.18</v>
      </c>
      <c r="C62" s="12"/>
      <c r="D62" s="8"/>
      <c r="E62" s="4"/>
      <c r="F62" s="4"/>
      <c r="G62" s="55" t="s">
        <v>45</v>
      </c>
      <c r="H62" s="67">
        <v>16629.38</v>
      </c>
    </row>
    <row r="63" spans="1:8" ht="15" x14ac:dyDescent="0.25">
      <c r="A63" s="98" t="s">
        <v>46</v>
      </c>
      <c r="B63" s="52">
        <v>4440.5</v>
      </c>
      <c r="C63" s="12"/>
      <c r="D63" s="8"/>
      <c r="E63" s="4"/>
      <c r="F63" s="4"/>
      <c r="G63" s="55" t="s">
        <v>47</v>
      </c>
      <c r="H63" s="67">
        <v>60547.839999999997</v>
      </c>
    </row>
    <row r="64" spans="1:8" ht="15" x14ac:dyDescent="0.25">
      <c r="A64" s="97" t="s">
        <v>48</v>
      </c>
      <c r="B64" s="52">
        <v>9012.75</v>
      </c>
      <c r="C64" s="12"/>
      <c r="D64" s="8"/>
      <c r="G64" s="55" t="s">
        <v>49</v>
      </c>
      <c r="H64" s="67">
        <v>205.55</v>
      </c>
    </row>
    <row r="65" spans="1:8" ht="15" x14ac:dyDescent="0.25">
      <c r="A65" s="98" t="s">
        <v>50</v>
      </c>
      <c r="B65" s="52">
        <v>7050</v>
      </c>
      <c r="C65" s="12"/>
      <c r="D65" s="8"/>
      <c r="E65" s="4"/>
      <c r="F65" s="4"/>
      <c r="G65" s="55" t="s">
        <v>51</v>
      </c>
      <c r="H65" s="67">
        <v>78</v>
      </c>
    </row>
    <row r="66" spans="1:8" ht="15" x14ac:dyDescent="0.25">
      <c r="A66" s="98"/>
      <c r="B66" s="52"/>
      <c r="C66" s="12"/>
      <c r="G66" s="55" t="s">
        <v>52</v>
      </c>
      <c r="H66" s="67">
        <v>7881</v>
      </c>
    </row>
    <row r="67" spans="1:8" ht="15" x14ac:dyDescent="0.25">
      <c r="A67" s="98"/>
      <c r="B67" s="52"/>
      <c r="C67" s="12"/>
      <c r="G67" s="55" t="s">
        <v>53</v>
      </c>
      <c r="H67" s="67">
        <v>1300000</v>
      </c>
    </row>
    <row r="68" spans="1:8" ht="15" x14ac:dyDescent="0.25">
      <c r="A68" s="98"/>
      <c r="B68" s="52"/>
      <c r="C68" s="12"/>
      <c r="G68" s="55"/>
      <c r="H68" s="67"/>
    </row>
    <row r="69" spans="1:8" ht="16.5" thickBot="1" x14ac:dyDescent="0.3">
      <c r="A69" s="98" t="s">
        <v>54</v>
      </c>
      <c r="B69" s="52">
        <v>55000</v>
      </c>
      <c r="C69" s="12"/>
      <c r="G69"/>
      <c r="H69" s="57">
        <f>SUM(H58:H67)</f>
        <v>1823511.89</v>
      </c>
    </row>
    <row r="70" spans="1:8" ht="13.5" thickTop="1" x14ac:dyDescent="0.2">
      <c r="A70" s="98" t="s">
        <v>54</v>
      </c>
      <c r="B70" s="52">
        <v>1300000</v>
      </c>
      <c r="C70" s="12"/>
    </row>
    <row r="71" spans="1:8" x14ac:dyDescent="0.2">
      <c r="A71" s="98"/>
      <c r="B71" s="52"/>
      <c r="C71" s="12"/>
    </row>
    <row r="72" spans="1:8" x14ac:dyDescent="0.2">
      <c r="A72" s="98"/>
      <c r="B72" s="52"/>
      <c r="C72" s="12"/>
    </row>
    <row r="73" spans="1:8" x14ac:dyDescent="0.2">
      <c r="A73" s="98"/>
      <c r="B73" s="52"/>
      <c r="C73" s="12"/>
    </row>
    <row r="74" spans="1:8" x14ac:dyDescent="0.2">
      <c r="A74" s="99" t="s">
        <v>55</v>
      </c>
      <c r="B74" s="64">
        <f>SUM(B58-B59-B60+B61-B62-B63-B64-B65-B66+B69+B70-B71-B72)</f>
        <v>1763391.26</v>
      </c>
      <c r="C74" s="86"/>
    </row>
    <row r="75" spans="1:8" ht="15" x14ac:dyDescent="0.35">
      <c r="A75" s="100"/>
      <c r="B75" s="65"/>
      <c r="C75" s="92"/>
    </row>
    <row r="76" spans="1:8" x14ac:dyDescent="0.2">
      <c r="C76" s="5"/>
    </row>
    <row r="77" spans="1:8" x14ac:dyDescent="0.2">
      <c r="A77" s="38" t="s">
        <v>56</v>
      </c>
      <c r="B77" s="52"/>
      <c r="C77" s="12"/>
    </row>
    <row r="78" spans="1:8" x14ac:dyDescent="0.2">
      <c r="A78" s="40" t="s">
        <v>57</v>
      </c>
      <c r="B78" s="101">
        <v>228200.93</v>
      </c>
      <c r="C78" s="94"/>
    </row>
    <row r="79" spans="1:8" x14ac:dyDescent="0.2">
      <c r="A79" s="40" t="s">
        <v>58</v>
      </c>
      <c r="B79" s="101">
        <v>1179327.08</v>
      </c>
      <c r="C79" s="94"/>
    </row>
    <row r="80" spans="1:8" x14ac:dyDescent="0.2">
      <c r="A80" s="40" t="s">
        <v>59</v>
      </c>
      <c r="B80" s="101">
        <v>10164334.18</v>
      </c>
      <c r="C80" s="94"/>
    </row>
    <row r="81" spans="1:3" ht="15" x14ac:dyDescent="0.35">
      <c r="A81" s="42" t="s">
        <v>60</v>
      </c>
      <c r="B81" s="65">
        <f>SUM(B78:B80)</f>
        <v>11571862.189999999</v>
      </c>
      <c r="C81" s="92"/>
    </row>
  </sheetData>
  <mergeCells count="2">
    <mergeCell ref="A2:H2"/>
    <mergeCell ref="A3:H3"/>
  </mergeCells>
  <phoneticPr fontId="3" type="noConversion"/>
  <pageMargins left="0.5" right="0.5" top="0.5" bottom="0.5" header="0.5" footer="0.5"/>
  <pageSetup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52" zoomScaleNormal="100" workbookViewId="0">
      <selection activeCell="A57" sqref="A57:C81"/>
    </sheetView>
  </sheetViews>
  <sheetFormatPr defaultColWidth="11.44140625"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0" width="11.44140625" style="1" customWidth="1"/>
    <col min="11" max="12" width="13.77734375" style="1" customWidth="1"/>
    <col min="13" max="14" width="15.77734375" style="1" customWidth="1"/>
    <col min="15" max="17" width="13.77734375" style="1" customWidth="1"/>
    <col min="18" max="16384" width="11.4414062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35"/>
      <c r="C4" s="5"/>
      <c r="D4" s="5"/>
      <c r="E4" s="5"/>
      <c r="F4" s="5"/>
      <c r="G4" s="16" t="s">
        <v>3</v>
      </c>
      <c r="H4" s="34">
        <v>42309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5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9355092.0399999991</v>
      </c>
      <c r="C11" s="44">
        <v>-518832.25</v>
      </c>
      <c r="D11" s="44">
        <v>0</v>
      </c>
      <c r="E11" s="44">
        <f>SUM(C11+D11+Oct!E11)</f>
        <v>6165184.6100000003</v>
      </c>
      <c r="F11" s="45"/>
      <c r="G11" s="44">
        <f>B11-E11</f>
        <v>3189907.4299999988</v>
      </c>
      <c r="H11" s="46">
        <f>E11/B11</f>
        <v>0.6590191292228057</v>
      </c>
    </row>
    <row r="12" spans="1:8" x14ac:dyDescent="0.2">
      <c r="A12" s="20" t="s">
        <v>18</v>
      </c>
      <c r="B12" s="51">
        <v>-9288376</v>
      </c>
      <c r="C12" s="21">
        <v>-856050.65</v>
      </c>
      <c r="D12" s="21">
        <v>-20488.68</v>
      </c>
      <c r="E12" s="21">
        <f>SUM(C12+D12+Oct!E12-Oct!D12)</f>
        <v>-3058772.19</v>
      </c>
      <c r="F12" s="7"/>
      <c r="G12" s="21">
        <f>B12-E12</f>
        <v>-6229603.8100000005</v>
      </c>
      <c r="H12" s="26">
        <f>E12/B12</f>
        <v>0.329311839873838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89502.81</v>
      </c>
      <c r="D15" s="44">
        <v>0</v>
      </c>
      <c r="E15" s="44">
        <f>SUM(C15+D15+Oct!E15)</f>
        <v>129878.01999999999</v>
      </c>
      <c r="F15" s="45"/>
      <c r="G15" s="44">
        <f>B15-E15</f>
        <v>285597.98</v>
      </c>
      <c r="H15" s="46">
        <f>E15/B15</f>
        <v>0.31260053528964366</v>
      </c>
    </row>
    <row r="16" spans="1:8" x14ac:dyDescent="0.2">
      <c r="A16" s="20" t="s">
        <v>18</v>
      </c>
      <c r="B16" s="51">
        <v>-459817</v>
      </c>
      <c r="C16" s="21">
        <v>-43480.71</v>
      </c>
      <c r="D16" s="21">
        <v>0</v>
      </c>
      <c r="E16" s="21">
        <f>SUM(C16+D16+Oct!E16-Oct!D16)</f>
        <v>-150054.97</v>
      </c>
      <c r="F16" s="7"/>
      <c r="G16" s="21">
        <f>B16-E16</f>
        <v>-309762.03000000003</v>
      </c>
      <c r="H16" s="26">
        <f>E16/B16</f>
        <v>0.32633628160768308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243356</v>
      </c>
      <c r="C19" s="44">
        <v>8904.5300000000007</v>
      </c>
      <c r="D19" s="44">
        <v>0</v>
      </c>
      <c r="E19" s="44">
        <f>SUM(C19+D19+Oct!E19)</f>
        <v>-6231.1999999999916</v>
      </c>
      <c r="F19" s="45"/>
      <c r="G19" s="44">
        <f>B19-E19</f>
        <v>249587.19999999998</v>
      </c>
      <c r="H19" s="46">
        <f>E19/B19</f>
        <v>-2.5605286082940184E-2</v>
      </c>
    </row>
    <row r="20" spans="1:8" x14ac:dyDescent="0.2">
      <c r="A20" s="20" t="s">
        <v>18</v>
      </c>
      <c r="B20" s="51">
        <v>-259085.06</v>
      </c>
      <c r="C20" s="21">
        <v>-10078.18</v>
      </c>
      <c r="D20" s="21">
        <v>-13.95</v>
      </c>
      <c r="E20" s="21">
        <f>SUM(C20+D20+Oct!E20-Oct!D20)</f>
        <v>-116297.76000000002</v>
      </c>
      <c r="F20" s="7"/>
      <c r="G20" s="21">
        <f>B20-E20</f>
        <v>-142787.29999999999</v>
      </c>
      <c r="H20" s="26">
        <f>E20/B20</f>
        <v>0.4488786810015214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61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14229.83</v>
      </c>
      <c r="D23" s="44">
        <v>0</v>
      </c>
      <c r="E23" s="44">
        <f>SUM(Nov!C23+Oct!E23)</f>
        <v>51529.510000000009</v>
      </c>
      <c r="F23" s="7"/>
      <c r="G23" s="44">
        <f>SUM(B23-E23)</f>
        <v>-51529.510000000009</v>
      </c>
      <c r="H23" s="46">
        <v>0</v>
      </c>
    </row>
    <row r="24" spans="1:8" x14ac:dyDescent="0.2">
      <c r="A24" s="20" t="s">
        <v>18</v>
      </c>
      <c r="B24" s="51">
        <v>0</v>
      </c>
      <c r="C24" s="21">
        <v>-769367.47</v>
      </c>
      <c r="D24" s="21">
        <v>-95743.34</v>
      </c>
      <c r="E24" s="21">
        <f>SUM(C24+D24+Oct!E24-Oct!D24)</f>
        <v>-5475658.7699999986</v>
      </c>
      <c r="F24" s="7"/>
      <c r="G24" s="21">
        <f>SUM(B24-E24)</f>
        <v>5475658.7699999986</v>
      </c>
      <c r="H24" s="26" t="e">
        <f>SUM(E24/B24)</f>
        <v>#DIV/0!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1988305</v>
      </c>
      <c r="C27" s="49">
        <v>-2348</v>
      </c>
      <c r="D27" s="49">
        <v>0</v>
      </c>
      <c r="E27" s="44">
        <f>SUM(C27+D27+Oct!E27)</f>
        <v>-1421010.2</v>
      </c>
      <c r="F27" s="50"/>
      <c r="G27" s="44">
        <f>B27-E27</f>
        <v>3409315.2</v>
      </c>
      <c r="H27" s="46">
        <f>E27/B27</f>
        <v>-0.71468421595278386</v>
      </c>
    </row>
    <row r="28" spans="1:8" x14ac:dyDescent="0.2">
      <c r="A28" s="20" t="s">
        <v>18</v>
      </c>
      <c r="B28" s="41">
        <v>-1893894</v>
      </c>
      <c r="C28" s="22">
        <v>0</v>
      </c>
      <c r="D28" s="22">
        <v>0</v>
      </c>
      <c r="E28" s="21">
        <f>SUM(C28+D28+Oct!E28-Oct!D28)</f>
        <v>-476947.49</v>
      </c>
      <c r="F28" s="8"/>
      <c r="G28" s="21">
        <f>B28-E28</f>
        <v>-1416946.51</v>
      </c>
      <c r="H28" s="26">
        <f>E28/B28</f>
        <v>0.25183431068475848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125</v>
      </c>
      <c r="D31" s="49">
        <v>0</v>
      </c>
      <c r="E31" s="44">
        <f>SUM(C31+D31+Oct!E31)</f>
        <v>10730</v>
      </c>
      <c r="F31" s="50"/>
      <c r="G31" s="44">
        <f>B31-E31</f>
        <v>70</v>
      </c>
      <c r="H31" s="46">
        <f>E31/B31</f>
        <v>0.99351851851851847</v>
      </c>
    </row>
    <row r="32" spans="1:8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SUM(C32+D32+Oct!E32-Oct!D32)</f>
        <v>-1250</v>
      </c>
      <c r="F32" s="8"/>
      <c r="G32" s="21">
        <f>B32-E32</f>
        <v>-9550</v>
      </c>
      <c r="H32" s="26">
        <f>E32/B32</f>
        <v>0.11574074074074074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0</v>
      </c>
      <c r="C35" s="49">
        <v>0</v>
      </c>
      <c r="D35" s="49">
        <v>0</v>
      </c>
      <c r="E35" s="44">
        <f>SUM(C35+D35+Oct!E35)</f>
        <v>0</v>
      </c>
      <c r="F35" s="50"/>
      <c r="G35" s="44">
        <f>B35-E35</f>
        <v>0</v>
      </c>
      <c r="H35" s="46" t="e">
        <f>E35/B35</f>
        <v>#DIV/0!</v>
      </c>
    </row>
    <row r="36" spans="1:8" x14ac:dyDescent="0.2">
      <c r="A36" s="20" t="s">
        <v>18</v>
      </c>
      <c r="B36" s="41">
        <v>0</v>
      </c>
      <c r="C36" s="22">
        <v>0</v>
      </c>
      <c r="D36" s="22">
        <v>0</v>
      </c>
      <c r="E36" s="21">
        <f>SUM(C36+D36+Oct!E36-Oct!D36)</f>
        <v>0</v>
      </c>
      <c r="F36" s="8"/>
      <c r="G36" s="21">
        <f>B36-E36</f>
        <v>0</v>
      </c>
      <c r="H36" s="26" t="e">
        <f>E36/B36</f>
        <v>#DIV/0!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21067.99</v>
      </c>
      <c r="D39" s="49">
        <v>0</v>
      </c>
      <c r="E39" s="44">
        <f>SUM(C39+D39+Oct!E39)</f>
        <v>57130.340000000011</v>
      </c>
      <c r="F39" s="50"/>
      <c r="G39" s="44">
        <f>B39-E39</f>
        <v>38675.029999999984</v>
      </c>
      <c r="H39" s="46">
        <f>E39/B39</f>
        <v>0.59631667828223001</v>
      </c>
    </row>
    <row r="40" spans="1:8" x14ac:dyDescent="0.2">
      <c r="A40" s="20" t="s">
        <v>18</v>
      </c>
      <c r="B40" s="41">
        <v>-95805.37</v>
      </c>
      <c r="C40" s="22">
        <v>-8129.75</v>
      </c>
      <c r="D40" s="22">
        <v>-1272.8</v>
      </c>
      <c r="E40" s="21">
        <f>SUM(D40+C40+Oct!E40-Oct!D40)</f>
        <v>-49851.42</v>
      </c>
      <c r="F40" s="8"/>
      <c r="G40" s="21">
        <f>B40-E40</f>
        <v>-45953.95</v>
      </c>
      <c r="H40" s="26">
        <f>E40/B40</f>
        <v>0.52034056128586526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-15.15</v>
      </c>
      <c r="D43" s="49">
        <v>0</v>
      </c>
      <c r="E43" s="44">
        <f>SUM(C43+D43+Oct!E43)</f>
        <v>937.54000000000008</v>
      </c>
      <c r="F43" s="50"/>
      <c r="G43" s="44">
        <f>B43-E43</f>
        <v>5762.46</v>
      </c>
      <c r="H43" s="46">
        <f>E43/B43</f>
        <v>0.13993134328358209</v>
      </c>
    </row>
    <row r="44" spans="1:8" x14ac:dyDescent="0.2">
      <c r="A44" s="20" t="s">
        <v>18</v>
      </c>
      <c r="B44" s="41">
        <v>-74979</v>
      </c>
      <c r="C44" s="22">
        <v>0</v>
      </c>
      <c r="D44" s="22">
        <v>0</v>
      </c>
      <c r="E44" s="21">
        <f>SUM(C44+D44+Oct!E44-Oct!D44)</f>
        <v>0</v>
      </c>
      <c r="F44" s="8"/>
      <c r="G44" s="21">
        <f>B44-E44</f>
        <v>-74979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138882</v>
      </c>
      <c r="C47" s="49">
        <v>-1260</v>
      </c>
      <c r="D47" s="49">
        <v>0</v>
      </c>
      <c r="E47" s="44">
        <f>SUM(C47+D47+Oct!E47)</f>
        <v>-134431.12</v>
      </c>
      <c r="F47" s="50"/>
      <c r="G47" s="44">
        <f>B47-E47</f>
        <v>273313.12</v>
      </c>
      <c r="H47" s="46">
        <f>E47/B47</f>
        <v>-0.96795207442289133</v>
      </c>
    </row>
    <row r="48" spans="1:8" x14ac:dyDescent="0.2">
      <c r="A48" s="20" t="s">
        <v>18</v>
      </c>
      <c r="B48" s="41">
        <v>-133212.5</v>
      </c>
      <c r="C48" s="22">
        <v>0</v>
      </c>
      <c r="D48" s="22">
        <v>0</v>
      </c>
      <c r="E48" s="21">
        <f>SUM(C48+D48+Oct!E48-Oct!D48)</f>
        <v>-14506.25</v>
      </c>
      <c r="F48" s="8"/>
      <c r="G48" s="21">
        <f>B48-E48</f>
        <v>-118706.25</v>
      </c>
      <c r="H48" s="26">
        <f>E48/B48</f>
        <v>0.10889556160270245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23" t="s">
        <v>28</v>
      </c>
      <c r="B51" s="41">
        <f>SUM(B11+B15+B19+B27+B31+B35+B39+B43+B47)</f>
        <v>12254416.409999998</v>
      </c>
      <c r="C51" s="22">
        <f>SUM(C11+C15+C19+C27+C35+C39+C31+C43+C47+C23)</f>
        <v>-388625.24</v>
      </c>
      <c r="D51" s="22">
        <f>SUM(D11+D15+D19+D27+D31+D35+D39+D43+D47)</f>
        <v>0</v>
      </c>
      <c r="E51" s="22">
        <f>E11+E15+E19+E27+E31+E49+E35+E39+E43+E47+E23</f>
        <v>4853717.4999999991</v>
      </c>
      <c r="F51" s="8"/>
      <c r="G51" s="22">
        <f>G11+G15+G19+G27+G31+G49+G35+G39+G43+G47+G23</f>
        <v>7400698.9099999992</v>
      </c>
      <c r="H51" s="26">
        <f>E51/B51</f>
        <v>0.39607904102550401</v>
      </c>
    </row>
    <row r="52" spans="1:8" x14ac:dyDescent="0.2">
      <c r="A52" s="24" t="s">
        <v>29</v>
      </c>
      <c r="B52" s="41">
        <f>SUM(B12+B16+B20+B28+B32+B36+B40+B44+B48+B24)</f>
        <v>-12215968.93</v>
      </c>
      <c r="C52" s="22">
        <f>C12+C16+C20+C28+C32+C50+C36+C24+C40+C44+C48</f>
        <v>-1687106.76</v>
      </c>
      <c r="D52" s="22">
        <f>SUM(D12+D16+D20+D24+D28+D32+D36+D40+D44+D48)</f>
        <v>-117518.77</v>
      </c>
      <c r="E52" s="22">
        <f>E12+E16+E20+E28+E32+E50+E36+E40+E44+E48+E24</f>
        <v>-9343338.8499999978</v>
      </c>
      <c r="F52" s="8"/>
      <c r="G52" s="22">
        <f>G12+G16+G20+G28+G32+G50+G36+G40+G44+G48+G24</f>
        <v>-2872630.0800000019</v>
      </c>
      <c r="H52" s="26">
        <f>E52/B52</f>
        <v>0.76484631743410947</v>
      </c>
    </row>
    <row r="53" spans="1:8" x14ac:dyDescent="0.2">
      <c r="A53" s="5"/>
      <c r="B53" s="35"/>
      <c r="C53" s="5"/>
      <c r="D53" s="5"/>
      <c r="E53" s="5"/>
      <c r="F53" s="5"/>
      <c r="G53" s="5"/>
      <c r="H53" s="14"/>
    </row>
    <row r="54" spans="1:8" ht="15" x14ac:dyDescent="0.3">
      <c r="A54" s="105"/>
      <c r="B54" s="105"/>
      <c r="C54" s="105"/>
      <c r="D54" s="105"/>
      <c r="E54" s="105"/>
      <c r="F54" s="105"/>
      <c r="G54" s="105"/>
      <c r="H54" s="105"/>
    </row>
    <row r="55" spans="1:8" x14ac:dyDescent="0.2">
      <c r="A55" s="2" t="s">
        <v>30</v>
      </c>
    </row>
    <row r="57" spans="1:8" x14ac:dyDescent="0.2">
      <c r="A57" s="96"/>
      <c r="B57" s="39" t="s">
        <v>11</v>
      </c>
      <c r="C57" s="39" t="s">
        <v>11</v>
      </c>
      <c r="D57" s="6"/>
      <c r="E57" s="3"/>
      <c r="F57" s="3"/>
      <c r="G57" s="3"/>
      <c r="H57" s="9"/>
    </row>
    <row r="58" spans="1:8" ht="23.25" x14ac:dyDescent="0.35">
      <c r="A58" s="96" t="s">
        <v>32</v>
      </c>
      <c r="B58" s="39" t="s">
        <v>33</v>
      </c>
      <c r="C58" s="39" t="s">
        <v>33</v>
      </c>
      <c r="D58" s="6"/>
      <c r="E58" s="53" t="s">
        <v>62</v>
      </c>
      <c r="F58"/>
    </row>
    <row r="59" spans="1:8" ht="15" x14ac:dyDescent="0.2">
      <c r="A59" s="97" t="s">
        <v>36</v>
      </c>
      <c r="B59" s="52">
        <v>659648.42000000004</v>
      </c>
      <c r="C59" s="52">
        <v>546477.47</v>
      </c>
      <c r="D59" s="8"/>
      <c r="E59"/>
      <c r="G59"/>
    </row>
    <row r="60" spans="1:8" ht="15.75" x14ac:dyDescent="0.25">
      <c r="A60" s="97" t="s">
        <v>38</v>
      </c>
      <c r="B60" s="52">
        <v>42994</v>
      </c>
      <c r="C60" s="52">
        <v>69804.320000000007</v>
      </c>
      <c r="D60" s="8"/>
      <c r="E60" s="54" t="s">
        <v>34</v>
      </c>
      <c r="G60" s="54" t="s">
        <v>35</v>
      </c>
    </row>
    <row r="61" spans="1:8" ht="15" x14ac:dyDescent="0.25">
      <c r="A61" s="97" t="s">
        <v>40</v>
      </c>
      <c r="B61" s="52">
        <v>9314.43</v>
      </c>
      <c r="C61" s="52">
        <v>44675.46</v>
      </c>
      <c r="D61" s="8"/>
      <c r="E61" s="55" t="s">
        <v>37</v>
      </c>
      <c r="G61" s="68">
        <v>17554.650000000001</v>
      </c>
    </row>
    <row r="62" spans="1:8" ht="15" x14ac:dyDescent="0.25">
      <c r="A62" s="97" t="s">
        <v>42</v>
      </c>
      <c r="B62" s="52">
        <v>5100</v>
      </c>
      <c r="C62" s="52">
        <v>5100</v>
      </c>
      <c r="D62" s="8"/>
      <c r="E62" s="55" t="s">
        <v>39</v>
      </c>
      <c r="G62" s="68">
        <v>15670.74</v>
      </c>
    </row>
    <row r="63" spans="1:8" ht="15" x14ac:dyDescent="0.25">
      <c r="A63" s="97" t="s">
        <v>44</v>
      </c>
      <c r="B63" s="52">
        <v>7445.99</v>
      </c>
      <c r="C63" s="52">
        <v>8203.18</v>
      </c>
      <c r="D63" s="8"/>
      <c r="E63" s="55" t="s">
        <v>41</v>
      </c>
      <c r="G63" s="68">
        <v>284894.8</v>
      </c>
    </row>
    <row r="64" spans="1:8" ht="15" x14ac:dyDescent="0.25">
      <c r="A64" s="98" t="s">
        <v>46</v>
      </c>
      <c r="B64" s="52">
        <v>4940.5</v>
      </c>
      <c r="C64" s="52">
        <v>4440.5</v>
      </c>
      <c r="D64" s="8"/>
      <c r="E64" s="55" t="s">
        <v>43</v>
      </c>
      <c r="G64" s="68">
        <v>99890.16</v>
      </c>
    </row>
    <row r="65" spans="1:7" ht="15" x14ac:dyDescent="0.25">
      <c r="A65" s="97" t="s">
        <v>48</v>
      </c>
      <c r="B65" s="52">
        <v>8541.9</v>
      </c>
      <c r="C65" s="52">
        <v>9012.75</v>
      </c>
      <c r="D65" s="8"/>
      <c r="E65" s="55" t="s">
        <v>45</v>
      </c>
      <c r="G65" s="68">
        <v>14495.9</v>
      </c>
    </row>
    <row r="66" spans="1:7" ht="15" x14ac:dyDescent="0.25">
      <c r="A66" s="98" t="s">
        <v>50</v>
      </c>
      <c r="B66" s="52"/>
      <c r="C66" s="52">
        <v>7050</v>
      </c>
      <c r="D66" s="8"/>
      <c r="E66" s="55" t="s">
        <v>47</v>
      </c>
      <c r="G66" s="68">
        <v>52235.42</v>
      </c>
    </row>
    <row r="67" spans="1:7" ht="15" x14ac:dyDescent="0.25">
      <c r="A67" s="98"/>
      <c r="B67" s="52"/>
      <c r="C67" s="52"/>
      <c r="D67" s="8"/>
      <c r="E67" s="55" t="s">
        <v>52</v>
      </c>
      <c r="G67" s="68">
        <v>9381</v>
      </c>
    </row>
    <row r="68" spans="1:7" ht="15" x14ac:dyDescent="0.25">
      <c r="A68" s="98"/>
      <c r="B68" s="52"/>
      <c r="C68" s="52"/>
      <c r="D68" s="8"/>
      <c r="E68" s="55" t="s">
        <v>63</v>
      </c>
      <c r="G68" s="68">
        <v>7050</v>
      </c>
    </row>
    <row r="69" spans="1:7" ht="15" x14ac:dyDescent="0.25">
      <c r="A69" s="98"/>
      <c r="B69" s="52"/>
      <c r="C69" s="52"/>
      <c r="D69" s="8"/>
      <c r="E69" s="55" t="s">
        <v>64</v>
      </c>
      <c r="G69" s="68">
        <v>5770.6</v>
      </c>
    </row>
    <row r="70" spans="1:7" ht="15" x14ac:dyDescent="0.25">
      <c r="A70" s="98"/>
      <c r="B70" s="52"/>
      <c r="C70" s="52"/>
      <c r="E70" s="55" t="s">
        <v>51</v>
      </c>
      <c r="G70" s="68">
        <v>78.400000000000006</v>
      </c>
    </row>
    <row r="71" spans="1:7" ht="15" x14ac:dyDescent="0.25">
      <c r="A71" s="98"/>
      <c r="B71" s="52"/>
      <c r="C71" s="52"/>
      <c r="E71" s="55" t="s">
        <v>65</v>
      </c>
      <c r="G71" s="68">
        <v>1500</v>
      </c>
    </row>
    <row r="72" spans="1:7" ht="16.5" thickBot="1" x14ac:dyDescent="0.3">
      <c r="A72" s="98" t="s">
        <v>54</v>
      </c>
      <c r="B72" s="52"/>
      <c r="C72" s="52">
        <v>55000</v>
      </c>
      <c r="E72"/>
      <c r="G72" s="57">
        <f>SUM(G61:G71)</f>
        <v>508521.67</v>
      </c>
    </row>
    <row r="73" spans="1:7" ht="13.5" thickTop="1" x14ac:dyDescent="0.2">
      <c r="A73" s="98" t="s">
        <v>54</v>
      </c>
      <c r="B73" s="52"/>
      <c r="C73" s="52">
        <v>1300000</v>
      </c>
      <c r="F73" s="10"/>
    </row>
    <row r="74" spans="1:7" x14ac:dyDescent="0.2">
      <c r="A74" s="98"/>
      <c r="B74" s="52"/>
      <c r="C74" s="52"/>
    </row>
    <row r="75" spans="1:7" x14ac:dyDescent="0.2">
      <c r="A75" s="98"/>
      <c r="B75" s="52"/>
      <c r="C75" s="52"/>
    </row>
    <row r="76" spans="1:7" x14ac:dyDescent="0.2">
      <c r="A76" s="99" t="s">
        <v>55</v>
      </c>
      <c r="B76" s="64">
        <f>SUM(B59-B60-B61+B62-B63-B64-B65-B66-B69+B72+B73-B74-B75)</f>
        <v>591511.6</v>
      </c>
      <c r="C76" s="64">
        <f>SUM(C59-C60-C61+C62-C63-C64-C65-C66-C69+C72+C73-C74-C75)</f>
        <v>1763391.26</v>
      </c>
    </row>
    <row r="77" spans="1:7" x14ac:dyDescent="0.2">
      <c r="A77" s="38" t="s">
        <v>56</v>
      </c>
      <c r="B77" s="52"/>
      <c r="C77" s="52"/>
    </row>
    <row r="78" spans="1:7" x14ac:dyDescent="0.2">
      <c r="A78" s="40" t="s">
        <v>57</v>
      </c>
      <c r="B78" s="101">
        <v>1443218.57</v>
      </c>
      <c r="C78" s="101">
        <v>228200.93</v>
      </c>
    </row>
    <row r="79" spans="1:7" x14ac:dyDescent="0.2">
      <c r="A79" s="40" t="s">
        <v>58</v>
      </c>
      <c r="B79" s="101">
        <v>1181023.55</v>
      </c>
      <c r="C79" s="101">
        <v>1179327.08</v>
      </c>
    </row>
    <row r="80" spans="1:7" x14ac:dyDescent="0.2">
      <c r="A80" s="40" t="s">
        <v>59</v>
      </c>
      <c r="B80" s="101">
        <v>8742396.4800000004</v>
      </c>
      <c r="C80" s="101">
        <v>10164334.18</v>
      </c>
    </row>
    <row r="81" spans="1:3" ht="15" x14ac:dyDescent="0.35">
      <c r="A81" s="42" t="s">
        <v>60</v>
      </c>
      <c r="B81" s="65">
        <f>SUM(B78:B80)</f>
        <v>11366638.600000001</v>
      </c>
      <c r="C81" s="65">
        <f>SUM(C78:C80)</f>
        <v>11571862.189999999</v>
      </c>
    </row>
  </sheetData>
  <mergeCells count="3">
    <mergeCell ref="A54:H54"/>
    <mergeCell ref="A2:H2"/>
    <mergeCell ref="A3:H3"/>
  </mergeCells>
  <phoneticPr fontId="3" type="noConversion"/>
  <pageMargins left="0.5" right="0.5" top="0.5" bottom="0.5" header="0.5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55" zoomScaleNormal="100" workbookViewId="0">
      <selection activeCell="A58" sqref="A58:C84"/>
    </sheetView>
  </sheetViews>
  <sheetFormatPr defaultRowHeight="12.75" x14ac:dyDescent="0.2"/>
  <cols>
    <col min="1" max="1" width="22.5546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1.6640625" style="1" customWidth="1"/>
    <col min="8" max="8" width="13.5546875" style="10" customWidth="1"/>
    <col min="9" max="9" width="11.44140625" style="1" customWidth="1"/>
    <col min="10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ht="15" x14ac:dyDescent="0.3">
      <c r="A4" s="104"/>
      <c r="B4" s="104"/>
      <c r="C4" s="104"/>
      <c r="D4" s="104"/>
      <c r="E4" s="104"/>
      <c r="F4" s="104"/>
      <c r="G4" s="104"/>
      <c r="H4" s="104"/>
    </row>
    <row r="5" spans="1:8" x14ac:dyDescent="0.2">
      <c r="A5" s="5"/>
      <c r="B5" s="5"/>
      <c r="C5" s="5"/>
      <c r="D5" s="5"/>
      <c r="E5" s="5"/>
      <c r="F5" s="5"/>
      <c r="G5" s="5"/>
      <c r="H5" s="14"/>
    </row>
    <row r="6" spans="1:8" x14ac:dyDescent="0.2">
      <c r="A6" s="5"/>
      <c r="B6" s="15"/>
      <c r="C6" s="5"/>
      <c r="D6" s="5"/>
      <c r="E6" s="5"/>
      <c r="F6" s="5"/>
      <c r="G6" s="5"/>
      <c r="H6" s="14"/>
    </row>
    <row r="7" spans="1:8" x14ac:dyDescent="0.2">
      <c r="A7" s="102"/>
      <c r="B7" s="5"/>
      <c r="C7" s="5"/>
      <c r="D7" s="5"/>
      <c r="E7" s="5"/>
      <c r="F7" s="5"/>
      <c r="G7" s="16" t="s">
        <v>3</v>
      </c>
      <c r="H7" s="34">
        <v>42370</v>
      </c>
    </row>
    <row r="8" spans="1:8" x14ac:dyDescent="0.2">
      <c r="A8" s="17" t="s">
        <v>4</v>
      </c>
      <c r="B8" s="5"/>
      <c r="C8" s="5"/>
      <c r="D8" s="5"/>
      <c r="E8" s="5"/>
      <c r="F8" s="5"/>
      <c r="G8" s="5"/>
      <c r="H8" s="14"/>
    </row>
    <row r="9" spans="1:8" x14ac:dyDescent="0.2">
      <c r="A9" s="5"/>
      <c r="B9" s="5"/>
      <c r="C9" s="5"/>
      <c r="D9" s="5"/>
      <c r="E9" s="5"/>
      <c r="F9" s="5"/>
      <c r="G9" s="5"/>
      <c r="H9" s="14"/>
    </row>
    <row r="10" spans="1:8" x14ac:dyDescent="0.2">
      <c r="A10" s="18" t="s">
        <v>5</v>
      </c>
      <c r="B10" s="19" t="s">
        <v>66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</row>
    <row r="11" spans="1:8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</row>
    <row r="12" spans="1:8" x14ac:dyDescent="0.2">
      <c r="A12" s="20"/>
      <c r="B12" s="20"/>
      <c r="C12" s="20"/>
      <c r="D12" s="20"/>
      <c r="E12" s="20"/>
      <c r="F12" s="5"/>
      <c r="G12" s="20"/>
      <c r="H12" s="26"/>
    </row>
    <row r="13" spans="1:8" x14ac:dyDescent="0.2">
      <c r="A13" s="20" t="s">
        <v>16</v>
      </c>
      <c r="B13" s="51"/>
      <c r="C13" s="21"/>
      <c r="D13" s="21"/>
      <c r="E13" s="21"/>
      <c r="F13" s="7"/>
      <c r="G13" s="21"/>
      <c r="H13" s="26"/>
    </row>
    <row r="14" spans="1:8" x14ac:dyDescent="0.2">
      <c r="A14" s="43" t="s">
        <v>17</v>
      </c>
      <c r="B14" s="44">
        <v>9355092.0399999991</v>
      </c>
      <c r="C14" s="44">
        <v>911030.55</v>
      </c>
      <c r="D14" s="44">
        <v>0</v>
      </c>
      <c r="E14" s="44">
        <f>SUM(D14+C14+Nov!E11)</f>
        <v>7076215.1600000001</v>
      </c>
      <c r="F14" s="45"/>
      <c r="G14" s="44">
        <f>B14-E14</f>
        <v>2278876.879999999</v>
      </c>
      <c r="H14" s="46">
        <f>E14/B14</f>
        <v>0.75640251637759415</v>
      </c>
    </row>
    <row r="15" spans="1:8" x14ac:dyDescent="0.2">
      <c r="A15" s="20" t="s">
        <v>18</v>
      </c>
      <c r="B15" s="51">
        <v>-9288376</v>
      </c>
      <c r="C15" s="21">
        <v>-742820.27</v>
      </c>
      <c r="D15" s="21">
        <v>-34840.93</v>
      </c>
      <c r="E15" s="21">
        <f>SUM(D15+C15+Nov!E12-Nov!D12)</f>
        <v>-3815944.71</v>
      </c>
      <c r="F15" s="7"/>
      <c r="G15" s="21">
        <f>B15-E15</f>
        <v>-5472431.29</v>
      </c>
      <c r="H15" s="26">
        <f>E15/B15</f>
        <v>0.41083012896980053</v>
      </c>
    </row>
    <row r="16" spans="1:8" x14ac:dyDescent="0.2">
      <c r="A16" s="20"/>
      <c r="B16" s="40"/>
      <c r="C16" s="21"/>
      <c r="D16" s="21"/>
      <c r="E16" s="21"/>
      <c r="F16" s="7"/>
      <c r="G16" s="21"/>
      <c r="H16" s="26"/>
    </row>
    <row r="17" spans="1:8" x14ac:dyDescent="0.2">
      <c r="A17" s="20" t="s">
        <v>19</v>
      </c>
      <c r="B17" s="51"/>
      <c r="C17" s="21"/>
      <c r="D17" s="21"/>
      <c r="E17" s="21"/>
      <c r="F17" s="7"/>
      <c r="G17" s="21"/>
      <c r="H17" s="27"/>
    </row>
    <row r="18" spans="1:8" x14ac:dyDescent="0.2">
      <c r="A18" s="43" t="s">
        <v>17</v>
      </c>
      <c r="B18" s="44">
        <v>415476</v>
      </c>
      <c r="C18" s="44">
        <v>45385.29</v>
      </c>
      <c r="D18" s="44">
        <v>0</v>
      </c>
      <c r="E18" s="44">
        <f>SUM(D18+C18+Nov!E15)</f>
        <v>175263.31</v>
      </c>
      <c r="F18" s="45"/>
      <c r="G18" s="44">
        <f>B18-E18</f>
        <v>240212.69</v>
      </c>
      <c r="H18" s="46">
        <f>E18/B18</f>
        <v>0.42183738651570729</v>
      </c>
    </row>
    <row r="19" spans="1:8" x14ac:dyDescent="0.2">
      <c r="A19" s="20" t="s">
        <v>18</v>
      </c>
      <c r="B19" s="51">
        <v>-492507</v>
      </c>
      <c r="C19" s="21">
        <v>-43057.5</v>
      </c>
      <c r="D19" s="21">
        <v>0</v>
      </c>
      <c r="E19" s="21">
        <f>SUM(D19+C19+Nov!E16-Nov!D16)</f>
        <v>-193112.47</v>
      </c>
      <c r="F19" s="7"/>
      <c r="G19" s="21">
        <f>B19-E19</f>
        <v>-299394.53000000003</v>
      </c>
      <c r="H19" s="26">
        <f>E19/B19</f>
        <v>0.39210096506242553</v>
      </c>
    </row>
    <row r="20" spans="1:8" x14ac:dyDescent="0.2">
      <c r="A20" s="20"/>
      <c r="B20" s="51"/>
      <c r="C20" s="21"/>
      <c r="D20" s="21"/>
      <c r="E20" s="21"/>
      <c r="F20" s="7"/>
      <c r="G20" s="21"/>
      <c r="H20" s="26"/>
    </row>
    <row r="21" spans="1:8" x14ac:dyDescent="0.2">
      <c r="A21" s="20" t="s">
        <v>20</v>
      </c>
      <c r="B21" s="51"/>
      <c r="C21" s="21"/>
      <c r="D21" s="21"/>
      <c r="E21" s="21"/>
      <c r="F21" s="7"/>
      <c r="G21" s="21"/>
      <c r="H21" s="26"/>
    </row>
    <row r="22" spans="1:8" x14ac:dyDescent="0.2">
      <c r="A22" s="43" t="s">
        <v>17</v>
      </c>
      <c r="B22" s="44">
        <v>256464</v>
      </c>
      <c r="C22" s="44">
        <v>6670.5</v>
      </c>
      <c r="D22" s="44">
        <v>0</v>
      </c>
      <c r="E22" s="44">
        <f>SUM(D22+C22+Nov!E19)</f>
        <v>439.30000000000837</v>
      </c>
      <c r="F22" s="45"/>
      <c r="G22" s="44">
        <f>B22-E22</f>
        <v>256024.69999999998</v>
      </c>
      <c r="H22" s="46">
        <f>E22/B22</f>
        <v>1.7129109738599115E-3</v>
      </c>
    </row>
    <row r="23" spans="1:8" x14ac:dyDescent="0.2">
      <c r="A23" s="20" t="s">
        <v>18</v>
      </c>
      <c r="B23" s="51">
        <v>-268192.5</v>
      </c>
      <c r="C23" s="21">
        <v>-12654.74</v>
      </c>
      <c r="D23" s="21">
        <v>-13.95</v>
      </c>
      <c r="E23" s="21">
        <f>SUM(C23+D23+Nov!E20-Nov!D20)</f>
        <v>-128952.50000000003</v>
      </c>
      <c r="F23" s="7"/>
      <c r="G23" s="21">
        <f>B23-E23</f>
        <v>-139239.99999999997</v>
      </c>
      <c r="H23" s="26">
        <f>E23/B23</f>
        <v>0.48082067917633797</v>
      </c>
    </row>
    <row r="24" spans="1:8" x14ac:dyDescent="0.2">
      <c r="A24" s="20"/>
      <c r="B24" s="51"/>
      <c r="C24" s="21"/>
      <c r="D24" s="21"/>
      <c r="E24" s="21"/>
      <c r="F24" s="7"/>
      <c r="G24" s="21"/>
      <c r="H24" s="26"/>
    </row>
    <row r="25" spans="1:8" x14ac:dyDescent="0.2">
      <c r="A25" s="20" t="s">
        <v>21</v>
      </c>
      <c r="B25" s="51"/>
      <c r="C25" s="21"/>
      <c r="D25" s="21"/>
      <c r="E25" s="21"/>
      <c r="F25" s="7"/>
      <c r="G25" s="21"/>
      <c r="H25" s="26"/>
    </row>
    <row r="26" spans="1:8" x14ac:dyDescent="0.2">
      <c r="A26" s="43" t="s">
        <v>17</v>
      </c>
      <c r="B26" s="44">
        <v>0</v>
      </c>
      <c r="C26" s="44">
        <v>-85.73</v>
      </c>
      <c r="D26" s="44">
        <v>0</v>
      </c>
      <c r="E26" s="44">
        <f>SUM(Nov!E23+Dec!C26)</f>
        <v>51443.780000000006</v>
      </c>
      <c r="F26" s="45"/>
      <c r="G26" s="44">
        <f>SUM(B26-E26)</f>
        <v>-51443.780000000006</v>
      </c>
      <c r="H26" s="46">
        <v>0</v>
      </c>
    </row>
    <row r="27" spans="1:8" x14ac:dyDescent="0.2">
      <c r="A27" s="20" t="s">
        <v>18</v>
      </c>
      <c r="B27" s="51">
        <v>-9713618</v>
      </c>
      <c r="C27" s="21">
        <v>-6986.5</v>
      </c>
      <c r="D27" s="21">
        <v>-95743.34</v>
      </c>
      <c r="E27" s="21">
        <f>SUM(C27+D27+Nov!E24-Nov!D24)</f>
        <v>-5482645.2699999986</v>
      </c>
      <c r="F27" s="7"/>
      <c r="G27" s="21">
        <f>SUM(B27-E27)</f>
        <v>-4230972.7300000014</v>
      </c>
      <c r="H27" s="26">
        <f>SUM(E27/B27)</f>
        <v>0.5644287504408757</v>
      </c>
    </row>
    <row r="28" spans="1:8" x14ac:dyDescent="0.2">
      <c r="A28" s="20"/>
      <c r="B28" s="51"/>
      <c r="C28" s="21"/>
      <c r="D28" s="21"/>
      <c r="E28" s="21"/>
      <c r="F28" s="7"/>
      <c r="G28" s="21"/>
      <c r="H28" s="26"/>
    </row>
    <row r="29" spans="1:8" x14ac:dyDescent="0.2">
      <c r="A29" s="20" t="s">
        <v>22</v>
      </c>
      <c r="B29" s="41"/>
      <c r="C29" s="22"/>
      <c r="D29" s="22"/>
      <c r="E29" s="21"/>
      <c r="F29" s="8"/>
      <c r="G29" s="21"/>
      <c r="H29" s="26"/>
    </row>
    <row r="30" spans="1:8" x14ac:dyDescent="0.2">
      <c r="A30" s="43" t="s">
        <v>17</v>
      </c>
      <c r="B30" s="49">
        <v>1988305</v>
      </c>
      <c r="C30" s="49">
        <v>4596.28</v>
      </c>
      <c r="D30" s="49">
        <v>0</v>
      </c>
      <c r="E30" s="44">
        <f>SUM(D30+C30+Nov!E27)</f>
        <v>-1416413.92</v>
      </c>
      <c r="F30" s="50"/>
      <c r="G30" s="44">
        <f>B30-E30</f>
        <v>3404718.92</v>
      </c>
      <c r="H30" s="46">
        <f>E30/B30</f>
        <v>-0.71237255853603942</v>
      </c>
    </row>
    <row r="31" spans="1:8" x14ac:dyDescent="0.2">
      <c r="A31" s="20" t="s">
        <v>18</v>
      </c>
      <c r="B31" s="41">
        <v>-1893894</v>
      </c>
      <c r="C31" s="22">
        <v>0</v>
      </c>
      <c r="D31" s="22">
        <v>0</v>
      </c>
      <c r="E31" s="21">
        <f>SUM(D31+C31+Nov!E28-Nov!D28)</f>
        <v>-476947.49</v>
      </c>
      <c r="F31" s="8"/>
      <c r="G31" s="21">
        <f>B31-E31</f>
        <v>-1416946.51</v>
      </c>
      <c r="H31" s="26">
        <f>E31/B31</f>
        <v>0.25183431068475848</v>
      </c>
    </row>
    <row r="32" spans="1:8" x14ac:dyDescent="0.2">
      <c r="A32" s="20"/>
      <c r="B32" s="41"/>
      <c r="C32" s="22"/>
      <c r="D32" s="22"/>
      <c r="E32" s="21"/>
      <c r="F32" s="8"/>
      <c r="G32" s="21"/>
      <c r="H32" s="26"/>
    </row>
    <row r="33" spans="1:8" x14ac:dyDescent="0.2">
      <c r="A33" s="20" t="s">
        <v>23</v>
      </c>
      <c r="B33" s="41"/>
      <c r="C33" s="22"/>
      <c r="D33" s="22"/>
      <c r="E33" s="21"/>
      <c r="F33" s="8"/>
      <c r="G33" s="21"/>
      <c r="H33" s="26"/>
    </row>
    <row r="34" spans="1:8" x14ac:dyDescent="0.2">
      <c r="A34" s="43" t="s">
        <v>17</v>
      </c>
      <c r="B34" s="49">
        <v>10800</v>
      </c>
      <c r="C34" s="49">
        <v>562.55999999999995</v>
      </c>
      <c r="D34" s="49">
        <v>0</v>
      </c>
      <c r="E34" s="44">
        <f>SUM(D34+C34+Nov!E31)</f>
        <v>11292.56</v>
      </c>
      <c r="F34" s="50"/>
      <c r="G34" s="44">
        <f>B34-E34</f>
        <v>-492.55999999999949</v>
      </c>
      <c r="H34" s="46">
        <f>E34/B34</f>
        <v>1.0456074074074073</v>
      </c>
    </row>
    <row r="35" spans="1:8" x14ac:dyDescent="0.2">
      <c r="A35" s="20" t="s">
        <v>18</v>
      </c>
      <c r="B35" s="41">
        <v>-10800</v>
      </c>
      <c r="C35" s="22">
        <v>-300</v>
      </c>
      <c r="D35" s="22">
        <v>0</v>
      </c>
      <c r="E35" s="21">
        <f>SUM(D35+C35+Nov!E32-Nov!D32)</f>
        <v>-1550</v>
      </c>
      <c r="F35" s="8"/>
      <c r="G35" s="21">
        <f>B35-E35</f>
        <v>-9250</v>
      </c>
      <c r="H35" s="26">
        <f>E35/B35</f>
        <v>0.14351851851851852</v>
      </c>
    </row>
    <row r="36" spans="1:8" x14ac:dyDescent="0.2">
      <c r="A36" s="20"/>
      <c r="B36" s="41"/>
      <c r="C36" s="22"/>
      <c r="D36" s="22"/>
      <c r="E36" s="21"/>
      <c r="F36" s="8"/>
      <c r="G36" s="21"/>
      <c r="H36" s="26"/>
    </row>
    <row r="37" spans="1:8" x14ac:dyDescent="0.2">
      <c r="A37" s="20" t="s">
        <v>24</v>
      </c>
      <c r="B37" s="41"/>
      <c r="C37" s="22"/>
      <c r="D37" s="22"/>
      <c r="E37" s="21"/>
      <c r="F37" s="8"/>
      <c r="G37" s="21"/>
      <c r="H37" s="26"/>
    </row>
    <row r="38" spans="1:8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SUM(D38+C38+Nov!E35)</f>
        <v>0</v>
      </c>
      <c r="F38" s="50"/>
      <c r="G38" s="44">
        <f>B38-E38</f>
        <v>0</v>
      </c>
      <c r="H38" s="46" t="e">
        <f>E38/B38</f>
        <v>#DIV/0!</v>
      </c>
    </row>
    <row r="39" spans="1:8" x14ac:dyDescent="0.2">
      <c r="A39" s="20" t="s">
        <v>18</v>
      </c>
      <c r="B39" s="41">
        <v>0</v>
      </c>
      <c r="C39" s="22">
        <v>0</v>
      </c>
      <c r="D39" s="22">
        <v>0</v>
      </c>
      <c r="E39" s="21">
        <f>SUM(D39+C39+Nov!E36-Nov!D36)</f>
        <v>0</v>
      </c>
      <c r="F39" s="8"/>
      <c r="G39" s="21">
        <f>B39-E39</f>
        <v>0</v>
      </c>
      <c r="H39" s="26" t="e">
        <f>E39/B39</f>
        <v>#DIV/0!</v>
      </c>
    </row>
    <row r="40" spans="1:8" x14ac:dyDescent="0.2">
      <c r="A40" s="20"/>
      <c r="B40" s="41"/>
      <c r="C40" s="22"/>
      <c r="D40" s="22"/>
      <c r="E40" s="21"/>
      <c r="F40" s="8"/>
      <c r="G40" s="21"/>
      <c r="H40" s="26"/>
    </row>
    <row r="41" spans="1:8" x14ac:dyDescent="0.2">
      <c r="A41" s="20" t="s">
        <v>25</v>
      </c>
      <c r="B41" s="41"/>
      <c r="C41" s="22"/>
      <c r="D41" s="22"/>
      <c r="E41" s="21"/>
      <c r="F41" s="8"/>
      <c r="G41" s="21"/>
      <c r="H41" s="26"/>
    </row>
    <row r="42" spans="1:8" x14ac:dyDescent="0.2">
      <c r="A42" s="43" t="s">
        <v>17</v>
      </c>
      <c r="B42" s="49">
        <v>95805.37</v>
      </c>
      <c r="C42" s="49">
        <v>9712.25</v>
      </c>
      <c r="D42" s="49">
        <v>0</v>
      </c>
      <c r="E42" s="44">
        <f>SUM(D42+C42+Nov!E39)</f>
        <v>66842.590000000011</v>
      </c>
      <c r="F42" s="50"/>
      <c r="G42" s="44">
        <f>B42-E42</f>
        <v>28962.779999999984</v>
      </c>
      <c r="H42" s="46">
        <f>E42/B42</f>
        <v>0.6976914759579762</v>
      </c>
    </row>
    <row r="43" spans="1:8" x14ac:dyDescent="0.2">
      <c r="A43" s="20" t="s">
        <v>18</v>
      </c>
      <c r="B43" s="41">
        <v>-95805.37</v>
      </c>
      <c r="C43" s="22">
        <v>-20897.07</v>
      </c>
      <c r="D43" s="22">
        <v>-1272.8</v>
      </c>
      <c r="E43" s="21">
        <f>SUM(C43+D43+Nov!E40-Nov!D40)</f>
        <v>-70748.489999999991</v>
      </c>
      <c r="F43" s="8"/>
      <c r="G43" s="21">
        <f>B43-E43</f>
        <v>-25056.880000000005</v>
      </c>
      <c r="H43" s="26">
        <f>E43/B43</f>
        <v>0.73846058942207515</v>
      </c>
    </row>
    <row r="44" spans="1:8" x14ac:dyDescent="0.2">
      <c r="A44" s="20"/>
      <c r="B44" s="41"/>
      <c r="C44" s="22"/>
      <c r="D44" s="22"/>
      <c r="E44" s="21"/>
      <c r="F44" s="8"/>
      <c r="G44" s="21"/>
      <c r="H44" s="26"/>
    </row>
    <row r="45" spans="1:8" x14ac:dyDescent="0.2">
      <c r="A45" s="20" t="s">
        <v>26</v>
      </c>
      <c r="B45" s="41"/>
      <c r="C45" s="22"/>
      <c r="D45" s="22"/>
      <c r="E45" s="21"/>
      <c r="F45" s="8"/>
      <c r="G45" s="21"/>
      <c r="H45" s="26"/>
    </row>
    <row r="46" spans="1:8" x14ac:dyDescent="0.2">
      <c r="A46" s="43" t="s">
        <v>17</v>
      </c>
      <c r="B46" s="49">
        <v>6700</v>
      </c>
      <c r="C46" s="49">
        <v>-11.67</v>
      </c>
      <c r="D46" s="49">
        <v>0</v>
      </c>
      <c r="E46" s="44">
        <f>SUM(D46+C46+Nov!E43)</f>
        <v>925.87000000000012</v>
      </c>
      <c r="F46" s="50"/>
      <c r="G46" s="44">
        <f>B46-E46</f>
        <v>5774.13</v>
      </c>
      <c r="H46" s="46">
        <f>E46/B46</f>
        <v>0.138189552238806</v>
      </c>
    </row>
    <row r="47" spans="1:8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SUM(D47+C47+Nov!E44-Nov!D44)</f>
        <v>0</v>
      </c>
      <c r="F47" s="8"/>
      <c r="G47" s="21">
        <f>B47-E47</f>
        <v>-74979</v>
      </c>
      <c r="H47" s="26">
        <f>E47/B47</f>
        <v>0</v>
      </c>
    </row>
    <row r="48" spans="1:8" x14ac:dyDescent="0.2">
      <c r="A48" s="20"/>
      <c r="B48" s="41"/>
      <c r="C48" s="22"/>
      <c r="D48" s="22"/>
      <c r="E48" s="21"/>
      <c r="F48" s="8"/>
      <c r="G48" s="21"/>
      <c r="H48" s="26"/>
    </row>
    <row r="49" spans="1:8" x14ac:dyDescent="0.2">
      <c r="A49" s="20" t="s">
        <v>27</v>
      </c>
      <c r="B49" s="41"/>
      <c r="C49" s="22"/>
      <c r="D49" s="22"/>
      <c r="E49" s="21"/>
      <c r="F49" s="8"/>
      <c r="G49" s="21"/>
      <c r="H49" s="26"/>
    </row>
    <row r="50" spans="1:8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SUM(D50+C50+Nov!E47)</f>
        <v>-134431.12</v>
      </c>
      <c r="F50" s="50"/>
      <c r="G50" s="44">
        <f>B50-E50</f>
        <v>273313.12</v>
      </c>
      <c r="H50" s="46">
        <f>E50/B50</f>
        <v>-0.96795207442289133</v>
      </c>
    </row>
    <row r="51" spans="1:8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SUM(D51+C51+Nov!E48-Nov!D48)</f>
        <v>-14506.25</v>
      </c>
      <c r="F51" s="8"/>
      <c r="G51" s="21">
        <f>B51-E51</f>
        <v>-118706.25</v>
      </c>
      <c r="H51" s="26">
        <f>E51/B51</f>
        <v>0.10889556160270245</v>
      </c>
    </row>
    <row r="52" spans="1:8" x14ac:dyDescent="0.2">
      <c r="A52" s="20"/>
      <c r="B52" s="41"/>
      <c r="C52" s="22"/>
      <c r="D52" s="22"/>
      <c r="E52" s="21"/>
      <c r="F52" s="8"/>
      <c r="G52" s="21"/>
      <c r="H52" s="26"/>
    </row>
    <row r="53" spans="1:8" x14ac:dyDescent="0.2">
      <c r="A53" s="20"/>
      <c r="B53" s="41"/>
      <c r="C53" s="22"/>
      <c r="D53" s="22"/>
      <c r="E53" s="20"/>
      <c r="F53" s="5"/>
      <c r="G53" s="20"/>
      <c r="H53" s="26"/>
    </row>
    <row r="54" spans="1:8" x14ac:dyDescent="0.2">
      <c r="A54" s="23" t="s">
        <v>28</v>
      </c>
      <c r="B54" s="41">
        <f>SUM(B14+B18+B22+B30+B34+B38+B42+B46+B50)</f>
        <v>12267524.409999998</v>
      </c>
      <c r="C54" s="22">
        <f>SUM(C14+C18+C22+C30+C38+C42+C34+C46+C50+C26)</f>
        <v>977860.03000000014</v>
      </c>
      <c r="D54" s="22">
        <f>SUM(D14+D18+D22+D30+D34+D38+D42+D46+D50)</f>
        <v>0</v>
      </c>
      <c r="E54" s="22">
        <f>E14+E18+E22+E30+E34+E52+E38+E42+E46+E50+E26</f>
        <v>5831577.5299999993</v>
      </c>
      <c r="F54" s="8"/>
      <c r="G54" s="22">
        <f>G14+G18+G22+G30+G34+G52+G38+G42+G46+G50+G26</f>
        <v>6435946.8799999999</v>
      </c>
      <c r="H54" s="26">
        <f>E54/B54</f>
        <v>0.47536710220411943</v>
      </c>
    </row>
    <row r="55" spans="1:8" x14ac:dyDescent="0.2">
      <c r="A55" s="24" t="s">
        <v>29</v>
      </c>
      <c r="B55" s="41">
        <f>SUM(B15+B19+B23+B31+B35+B39+B43+B47+B51+B27)</f>
        <v>-21971384.369999997</v>
      </c>
      <c r="C55" s="22">
        <f>C15+C19+C23+C31+C35+C53+C39+C43+C47+C51+C27</f>
        <v>-826716.08</v>
      </c>
      <c r="D55" s="22">
        <f>SUM(D15+D19+D23+D31+D35+D39+D43+D47+D51+D27)</f>
        <v>-131871.01999999999</v>
      </c>
      <c r="E55" s="22">
        <f>E15+E19+E23+E31+E35+E53+E39+E27+E43+E47+E51</f>
        <v>-10184407.179999998</v>
      </c>
      <c r="F55" s="8"/>
      <c r="G55" s="22">
        <f>G15+G19+G23+G31+G35+G53+G39+G43+G47+G51+G27</f>
        <v>-11786977.190000001</v>
      </c>
      <c r="H55" s="26">
        <f>E55/B55</f>
        <v>0.46353051808177886</v>
      </c>
    </row>
    <row r="56" spans="1:8" x14ac:dyDescent="0.2">
      <c r="A56" s="5"/>
      <c r="B56" s="5"/>
      <c r="C56" s="5"/>
      <c r="D56" s="5"/>
      <c r="E56" s="5"/>
      <c r="F56" s="5"/>
      <c r="G56" s="5"/>
      <c r="H56" s="14"/>
    </row>
    <row r="57" spans="1:8" ht="15" x14ac:dyDescent="0.3">
      <c r="A57" s="105"/>
      <c r="B57" s="105"/>
      <c r="C57" s="105"/>
      <c r="D57" s="105"/>
      <c r="E57" s="105"/>
      <c r="F57" s="105"/>
      <c r="G57" s="105"/>
      <c r="H57" s="105"/>
    </row>
    <row r="58" spans="1:8" x14ac:dyDescent="0.2">
      <c r="A58" s="2" t="s">
        <v>30</v>
      </c>
    </row>
    <row r="60" spans="1:8" x14ac:dyDescent="0.2">
      <c r="A60" s="96"/>
      <c r="B60" s="39" t="s">
        <v>11</v>
      </c>
      <c r="C60" s="39" t="s">
        <v>67</v>
      </c>
      <c r="D60" s="6"/>
      <c r="E60" s="3"/>
      <c r="F60" s="3"/>
      <c r="G60" s="3"/>
      <c r="H60" s="9"/>
    </row>
    <row r="61" spans="1:8" ht="23.25" x14ac:dyDescent="0.35">
      <c r="A61" s="96" t="s">
        <v>32</v>
      </c>
      <c r="B61" s="39" t="s">
        <v>33</v>
      </c>
      <c r="C61" s="39" t="s">
        <v>33</v>
      </c>
      <c r="D61" s="6"/>
      <c r="E61" s="53" t="s">
        <v>68</v>
      </c>
      <c r="F61"/>
      <c r="H61" s="9"/>
    </row>
    <row r="62" spans="1:8" ht="15" x14ac:dyDescent="0.2">
      <c r="A62" s="97" t="s">
        <v>36</v>
      </c>
      <c r="B62" s="52">
        <v>689687.34</v>
      </c>
      <c r="C62" s="52">
        <v>659648.42000000004</v>
      </c>
      <c r="D62" s="8"/>
      <c r="E62"/>
      <c r="G62"/>
      <c r="H62" s="11"/>
    </row>
    <row r="63" spans="1:8" ht="15.75" x14ac:dyDescent="0.25">
      <c r="A63" s="97" t="s">
        <v>38</v>
      </c>
      <c r="B63" s="52">
        <v>63423.11</v>
      </c>
      <c r="C63" s="52">
        <v>42994</v>
      </c>
      <c r="D63" s="8"/>
      <c r="E63" s="54" t="s">
        <v>34</v>
      </c>
      <c r="G63" s="54" t="s">
        <v>35</v>
      </c>
      <c r="H63" s="11"/>
    </row>
    <row r="64" spans="1:8" ht="15" x14ac:dyDescent="0.25">
      <c r="A64" s="97" t="s">
        <v>40</v>
      </c>
      <c r="B64" s="52">
        <v>444.39</v>
      </c>
      <c r="C64" s="52">
        <v>9314.43</v>
      </c>
      <c r="D64" s="8"/>
      <c r="E64" s="55" t="s">
        <v>37</v>
      </c>
      <c r="G64" s="68">
        <v>17083.8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39</v>
      </c>
      <c r="G65" s="68">
        <v>15046.85</v>
      </c>
      <c r="H65" s="11"/>
    </row>
    <row r="66" spans="1:8" ht="15" x14ac:dyDescent="0.25">
      <c r="A66" s="97" t="s">
        <v>44</v>
      </c>
      <c r="B66" s="52">
        <v>7670.49</v>
      </c>
      <c r="C66" s="52">
        <v>7445.99</v>
      </c>
      <c r="D66" s="8"/>
      <c r="E66" s="55" t="s">
        <v>41</v>
      </c>
      <c r="G66" s="68">
        <v>293118.12</v>
      </c>
    </row>
    <row r="67" spans="1:8" ht="15" x14ac:dyDescent="0.25">
      <c r="A67" s="98" t="s">
        <v>46</v>
      </c>
      <c r="B67" s="52">
        <v>4940.5</v>
      </c>
      <c r="C67" s="52">
        <v>4940.5</v>
      </c>
      <c r="D67" s="8"/>
      <c r="E67" s="55" t="s">
        <v>43</v>
      </c>
      <c r="G67" s="68">
        <v>102514.46</v>
      </c>
      <c r="H67" s="11"/>
    </row>
    <row r="68" spans="1:8" ht="15" x14ac:dyDescent="0.25">
      <c r="A68" s="97" t="s">
        <v>48</v>
      </c>
      <c r="B68" s="52">
        <v>8541.9</v>
      </c>
      <c r="C68" s="52">
        <v>8541.9</v>
      </c>
      <c r="D68" s="8"/>
      <c r="E68" s="55" t="s">
        <v>45</v>
      </c>
      <c r="G68" s="68">
        <v>14818.02</v>
      </c>
      <c r="H68" s="11"/>
    </row>
    <row r="69" spans="1:8" ht="15" x14ac:dyDescent="0.25">
      <c r="A69" s="98" t="s">
        <v>50</v>
      </c>
      <c r="B69" s="52"/>
      <c r="C69" s="52"/>
      <c r="D69" s="8"/>
      <c r="E69" s="55" t="s">
        <v>47</v>
      </c>
      <c r="G69" s="68">
        <v>52842.54</v>
      </c>
    </row>
    <row r="70" spans="1:8" ht="15" x14ac:dyDescent="0.25">
      <c r="A70" s="98"/>
      <c r="B70" s="52"/>
      <c r="C70" s="52"/>
      <c r="D70" s="8"/>
      <c r="E70" s="91" t="s">
        <v>52</v>
      </c>
      <c r="G70" s="68">
        <v>9881</v>
      </c>
      <c r="H70" s="11"/>
    </row>
    <row r="71" spans="1:8" ht="15" x14ac:dyDescent="0.25">
      <c r="A71" s="98"/>
      <c r="B71" s="52"/>
      <c r="C71" s="52"/>
      <c r="E71" s="91" t="s">
        <v>51</v>
      </c>
      <c r="G71" s="68">
        <v>78.2</v>
      </c>
    </row>
    <row r="72" spans="1:8" ht="15" x14ac:dyDescent="0.25">
      <c r="A72" s="98"/>
      <c r="B72" s="52"/>
      <c r="C72" s="52"/>
      <c r="E72" s="55"/>
      <c r="G72" s="68"/>
    </row>
    <row r="73" spans="1:8" ht="15" x14ac:dyDescent="0.25">
      <c r="A73" s="98"/>
      <c r="B73" s="52"/>
      <c r="C73" s="52"/>
      <c r="E73" s="55"/>
      <c r="G73" s="68"/>
    </row>
    <row r="74" spans="1:8" ht="16.5" thickBot="1" x14ac:dyDescent="0.3">
      <c r="A74" s="98"/>
      <c r="B74" s="52"/>
      <c r="C74" s="52"/>
      <c r="E74"/>
      <c r="G74" s="57">
        <f>SUM(G64:G73)</f>
        <v>505382.99000000005</v>
      </c>
    </row>
    <row r="75" spans="1:8" ht="13.5" thickTop="1" x14ac:dyDescent="0.2">
      <c r="A75" s="98" t="s">
        <v>54</v>
      </c>
      <c r="B75" s="52"/>
      <c r="C75" s="52"/>
      <c r="F75" s="10"/>
    </row>
    <row r="76" spans="1:8" x14ac:dyDescent="0.2">
      <c r="A76" s="98" t="s">
        <v>54</v>
      </c>
      <c r="B76" s="52"/>
      <c r="C76" s="52"/>
    </row>
    <row r="77" spans="1:8" x14ac:dyDescent="0.2">
      <c r="A77" s="98"/>
      <c r="B77" s="52"/>
      <c r="C77" s="52"/>
    </row>
    <row r="78" spans="1:8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SUM(B62-B63-B64+B65-B66-B67-B68-B69-B72+B75+B76-B77-B78)</f>
        <v>609766.94999999995</v>
      </c>
      <c r="C79" s="64">
        <f>SUM(C62-C63-C64+C65-C66-C67-C68-C69-C72+C75+C76-C77-C78)</f>
        <v>591511.6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817009.88</v>
      </c>
      <c r="C81" s="101">
        <v>1443218.57</v>
      </c>
    </row>
    <row r="82" spans="1:3" x14ac:dyDescent="0.2">
      <c r="A82" s="40" t="s">
        <v>58</v>
      </c>
      <c r="B82" s="101">
        <v>1960717.66</v>
      </c>
      <c r="C82" s="101">
        <v>1181023.55</v>
      </c>
    </row>
    <row r="83" spans="1:3" x14ac:dyDescent="0.2">
      <c r="A83" s="40" t="s">
        <v>59</v>
      </c>
      <c r="B83" s="101">
        <v>8721762.75</v>
      </c>
      <c r="C83" s="101">
        <v>8742396.4800000004</v>
      </c>
    </row>
    <row r="84" spans="1:3" ht="15" x14ac:dyDescent="0.35">
      <c r="A84" s="42" t="s">
        <v>60</v>
      </c>
      <c r="B84" s="65">
        <f>SUM(B81:B83)</f>
        <v>11499490.289999999</v>
      </c>
      <c r="C84" s="65">
        <f>SUM(C81:C83)</f>
        <v>11366638.600000001</v>
      </c>
    </row>
  </sheetData>
  <mergeCells count="4">
    <mergeCell ref="A57:H57"/>
    <mergeCell ref="A2:H2"/>
    <mergeCell ref="A3:H3"/>
    <mergeCell ref="A4:H4"/>
  </mergeCells>
  <phoneticPr fontId="3" type="noConversion"/>
  <pageMargins left="0.5" right="0.5" top="0.5" bottom="0.5" header="0.5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47" zoomScaleNormal="100" workbookViewId="0">
      <selection activeCell="A60" sqref="A60:C84"/>
    </sheetView>
  </sheetViews>
  <sheetFormatPr defaultRowHeight="12.75" x14ac:dyDescent="0.2"/>
  <cols>
    <col min="1" max="1" width="24.5546875" style="1" customWidth="1"/>
    <col min="2" max="3" width="13.6640625" style="1" customWidth="1"/>
    <col min="4" max="4" width="12.44140625" style="1" customWidth="1"/>
    <col min="5" max="5" width="20.33203125" style="1" customWidth="1"/>
    <col min="6" max="6" width="2.77734375" style="1" customWidth="1"/>
    <col min="7" max="7" width="16" style="1" customWidth="1"/>
    <col min="8" max="8" width="13.5546875" style="10" customWidth="1"/>
    <col min="9" max="9" width="8.88671875" style="1"/>
    <col min="10" max="10" width="10.33203125" style="1" bestFit="1" customWidth="1"/>
    <col min="11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ht="15" x14ac:dyDescent="0.3">
      <c r="A4" s="104"/>
      <c r="B4" s="104"/>
      <c r="C4" s="104"/>
      <c r="D4" s="104"/>
      <c r="E4" s="104"/>
      <c r="F4" s="104"/>
      <c r="G4" s="104"/>
      <c r="H4" s="104"/>
    </row>
    <row r="5" spans="1:8" x14ac:dyDescent="0.2">
      <c r="A5" s="5"/>
      <c r="B5" s="5"/>
      <c r="C5" s="5"/>
      <c r="D5" s="5"/>
      <c r="E5" s="5"/>
      <c r="F5" s="5"/>
      <c r="G5" s="5"/>
      <c r="H5" s="14"/>
    </row>
    <row r="6" spans="1:8" x14ac:dyDescent="0.2">
      <c r="A6" s="5"/>
      <c r="B6" s="15"/>
      <c r="C6" s="5"/>
      <c r="D6" s="5"/>
      <c r="E6" s="5"/>
      <c r="F6" s="5"/>
      <c r="G6" s="5"/>
      <c r="H6" s="14"/>
    </row>
    <row r="7" spans="1:8" x14ac:dyDescent="0.2">
      <c r="A7" s="102"/>
      <c r="B7" s="5"/>
      <c r="C7" s="5"/>
      <c r="D7" s="5"/>
      <c r="E7" s="5"/>
      <c r="F7" s="5"/>
      <c r="G7" s="16" t="s">
        <v>3</v>
      </c>
      <c r="H7" s="34">
        <v>42005</v>
      </c>
    </row>
    <row r="8" spans="1:8" x14ac:dyDescent="0.2">
      <c r="A8" s="17" t="s">
        <v>4</v>
      </c>
      <c r="B8" s="5"/>
      <c r="C8" s="5"/>
      <c r="D8" s="5"/>
      <c r="E8" s="5"/>
      <c r="F8" s="5"/>
      <c r="G8" s="5"/>
      <c r="H8" s="14"/>
    </row>
    <row r="9" spans="1:8" x14ac:dyDescent="0.2">
      <c r="A9" s="5"/>
      <c r="B9" s="5"/>
      <c r="C9" s="5"/>
      <c r="D9" s="5"/>
      <c r="E9" s="5"/>
      <c r="F9" s="5"/>
      <c r="G9" s="5"/>
      <c r="H9" s="14"/>
    </row>
    <row r="10" spans="1:8" x14ac:dyDescent="0.2">
      <c r="A10" s="18" t="s">
        <v>5</v>
      </c>
      <c r="B10" s="19" t="s">
        <v>66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</row>
    <row r="11" spans="1:8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</row>
    <row r="12" spans="1:8" x14ac:dyDescent="0.2">
      <c r="A12" s="20"/>
      <c r="B12" s="20"/>
      <c r="C12" s="20"/>
      <c r="D12" s="20"/>
      <c r="E12" s="20"/>
      <c r="F12" s="5"/>
      <c r="G12" s="20"/>
      <c r="H12" s="26"/>
    </row>
    <row r="13" spans="1:8" x14ac:dyDescent="0.2">
      <c r="A13" s="20" t="s">
        <v>16</v>
      </c>
      <c r="B13" s="21"/>
      <c r="C13" s="21"/>
      <c r="D13" s="21"/>
      <c r="E13" s="21"/>
      <c r="F13" s="7"/>
      <c r="G13" s="21"/>
      <c r="H13" s="26"/>
    </row>
    <row r="14" spans="1:8" x14ac:dyDescent="0.2">
      <c r="A14" s="43" t="s">
        <v>17</v>
      </c>
      <c r="B14" s="44">
        <v>9355092.0399999991</v>
      </c>
      <c r="C14" s="44">
        <v>853418.56</v>
      </c>
      <c r="D14" s="44">
        <v>0</v>
      </c>
      <c r="E14" s="44">
        <f>SUM(C14+D14+Dec!E14-Dec!D14)</f>
        <v>7929633.7200000007</v>
      </c>
      <c r="F14" s="45"/>
      <c r="G14" s="44">
        <f>B14-E14</f>
        <v>1425458.3199999984</v>
      </c>
      <c r="H14" s="46">
        <f>E14/B14</f>
        <v>0.84762754723255518</v>
      </c>
    </row>
    <row r="15" spans="1:8" x14ac:dyDescent="0.2">
      <c r="A15" s="20" t="s">
        <v>18</v>
      </c>
      <c r="B15" s="51">
        <v>-9288376</v>
      </c>
      <c r="C15" s="21">
        <v>-820137.34</v>
      </c>
      <c r="D15" s="21">
        <v>-29593.3</v>
      </c>
      <c r="E15" s="21">
        <f>SUM(C15+D15+Dec!E15-Dec!D15)</f>
        <v>-4630834.42</v>
      </c>
      <c r="F15" s="7"/>
      <c r="G15" s="21">
        <f>B15-E15</f>
        <v>-4657541.58</v>
      </c>
      <c r="H15" s="26">
        <f>E15/B15</f>
        <v>0.49856233425520241</v>
      </c>
    </row>
    <row r="16" spans="1:8" x14ac:dyDescent="0.2">
      <c r="A16" s="20"/>
      <c r="B16" s="40"/>
      <c r="C16" s="21"/>
      <c r="D16" s="21"/>
      <c r="E16" s="21"/>
      <c r="F16" s="7"/>
      <c r="G16" s="21"/>
      <c r="H16" s="26"/>
    </row>
    <row r="17" spans="1:10" x14ac:dyDescent="0.2">
      <c r="A17" s="20" t="s">
        <v>19</v>
      </c>
      <c r="B17" s="51"/>
      <c r="C17" s="21"/>
      <c r="D17" s="21"/>
      <c r="E17" s="21"/>
      <c r="F17" s="7"/>
      <c r="G17" s="21"/>
      <c r="H17" s="27"/>
      <c r="J17" s="33"/>
    </row>
    <row r="18" spans="1:10" x14ac:dyDescent="0.2">
      <c r="A18" s="43" t="s">
        <v>17</v>
      </c>
      <c r="B18" s="44">
        <v>415476</v>
      </c>
      <c r="C18" s="44">
        <v>43030.67</v>
      </c>
      <c r="D18" s="44">
        <v>0</v>
      </c>
      <c r="E18" s="44">
        <f>SUM(D18+C18+Dec!E18)</f>
        <v>218293.97999999998</v>
      </c>
      <c r="F18" s="45"/>
      <c r="G18" s="44">
        <f>B18-E18</f>
        <v>197182.02000000002</v>
      </c>
      <c r="H18" s="46">
        <f>E18/B18</f>
        <v>0.52540695491436329</v>
      </c>
    </row>
    <row r="19" spans="1:10" x14ac:dyDescent="0.2">
      <c r="A19" s="20" t="s">
        <v>18</v>
      </c>
      <c r="B19" s="51">
        <v>-492507</v>
      </c>
      <c r="C19" s="21">
        <v>-43602.14</v>
      </c>
      <c r="D19" s="21">
        <v>0</v>
      </c>
      <c r="E19" s="21">
        <f>SUM(C19+D19+Dec!E19-Dec!D19)</f>
        <v>-236714.61</v>
      </c>
      <c r="F19" s="7"/>
      <c r="G19" s="21">
        <f>SUM(B19-E19)</f>
        <v>-255792.39</v>
      </c>
      <c r="H19" s="26">
        <f>E19/B19</f>
        <v>0.48063197071310659</v>
      </c>
    </row>
    <row r="20" spans="1:10" x14ac:dyDescent="0.2">
      <c r="A20" s="20"/>
      <c r="B20" s="51"/>
      <c r="C20" s="21"/>
      <c r="D20" s="21"/>
      <c r="E20" s="21"/>
      <c r="F20" s="7"/>
      <c r="G20" s="21"/>
      <c r="H20" s="26"/>
    </row>
    <row r="21" spans="1:10" x14ac:dyDescent="0.2">
      <c r="A21" s="20" t="s">
        <v>20</v>
      </c>
      <c r="B21" s="51"/>
      <c r="C21" s="21"/>
      <c r="D21" s="21"/>
      <c r="E21" s="21"/>
      <c r="F21" s="7"/>
      <c r="G21" s="21"/>
      <c r="H21" s="26"/>
    </row>
    <row r="22" spans="1:10" x14ac:dyDescent="0.2">
      <c r="A22" s="43" t="s">
        <v>17</v>
      </c>
      <c r="B22" s="44">
        <v>256464</v>
      </c>
      <c r="C22" s="44">
        <v>31850.46</v>
      </c>
      <c r="D22" s="44">
        <v>0</v>
      </c>
      <c r="E22" s="44">
        <f>SUM(D22+C22+Dec!E22)</f>
        <v>32289.760000000009</v>
      </c>
      <c r="F22" s="45"/>
      <c r="G22" s="44">
        <f>B22-E22</f>
        <v>224174.24</v>
      </c>
      <c r="H22" s="46">
        <f>E22/B22</f>
        <v>0.125903674589806</v>
      </c>
    </row>
    <row r="23" spans="1:10" x14ac:dyDescent="0.2">
      <c r="A23" s="20" t="s">
        <v>18</v>
      </c>
      <c r="B23" s="51">
        <v>-268192.5</v>
      </c>
      <c r="C23" s="21">
        <v>-12672.72</v>
      </c>
      <c r="D23" s="21">
        <v>-115.51</v>
      </c>
      <c r="E23" s="21">
        <f>SUM(C23+D23+Dec!E23-Dec!D23)</f>
        <v>-141726.78000000003</v>
      </c>
      <c r="F23" s="7"/>
      <c r="G23" s="21">
        <f>B23-E23</f>
        <v>-126465.71999999997</v>
      </c>
      <c r="H23" s="26">
        <f>E23/B23</f>
        <v>0.5284516904835147</v>
      </c>
    </row>
    <row r="24" spans="1:10" x14ac:dyDescent="0.2">
      <c r="A24" s="20"/>
      <c r="B24" s="51"/>
      <c r="C24" s="21"/>
      <c r="D24" s="21"/>
      <c r="E24" s="21"/>
      <c r="F24" s="7"/>
      <c r="G24" s="21"/>
      <c r="H24" s="26"/>
    </row>
    <row r="25" spans="1:10" x14ac:dyDescent="0.2">
      <c r="A25" s="20" t="s">
        <v>21</v>
      </c>
      <c r="B25" s="51"/>
      <c r="C25" s="21"/>
      <c r="D25" s="21"/>
      <c r="E25" s="21"/>
      <c r="F25" s="7"/>
      <c r="G25" s="21"/>
      <c r="H25" s="26"/>
    </row>
    <row r="26" spans="1:10" x14ac:dyDescent="0.2">
      <c r="A26" s="43" t="s">
        <v>17</v>
      </c>
      <c r="B26" s="44">
        <v>0</v>
      </c>
      <c r="C26" s="44">
        <v>-1074.97</v>
      </c>
      <c r="D26" s="44">
        <v>0</v>
      </c>
      <c r="E26" s="44">
        <f>SUM(Dec!E26+Jan!C26)</f>
        <v>50368.810000000005</v>
      </c>
      <c r="F26" s="45"/>
      <c r="G26" s="44">
        <f>SUM(B26-E26)</f>
        <v>-50368.810000000005</v>
      </c>
      <c r="H26" s="46">
        <v>0</v>
      </c>
    </row>
    <row r="27" spans="1:10" x14ac:dyDescent="0.2">
      <c r="A27" s="20" t="s">
        <v>18</v>
      </c>
      <c r="B27" s="51">
        <v>-9713618</v>
      </c>
      <c r="C27" s="21">
        <v>-719236.69</v>
      </c>
      <c r="D27" s="21">
        <v>-95743.34</v>
      </c>
      <c r="E27" s="21">
        <f>SUM(D27+C27+Dec!E27-Dec!D27)</f>
        <v>-6201881.959999999</v>
      </c>
      <c r="F27" s="7"/>
      <c r="G27" s="21">
        <f>SUM(B27-E27)</f>
        <v>-3511736.040000001</v>
      </c>
      <c r="H27" s="26">
        <f>SUM(E27/B27)</f>
        <v>0.63847291091743563</v>
      </c>
    </row>
    <row r="28" spans="1:10" x14ac:dyDescent="0.2">
      <c r="A28" s="20"/>
      <c r="B28" s="51"/>
      <c r="C28" s="21"/>
      <c r="D28" s="21"/>
      <c r="E28" s="21"/>
      <c r="F28" s="7"/>
      <c r="G28" s="21"/>
      <c r="H28" s="26"/>
    </row>
    <row r="29" spans="1:10" x14ac:dyDescent="0.2">
      <c r="A29" s="20" t="s">
        <v>22</v>
      </c>
      <c r="B29" s="41"/>
      <c r="C29" s="22"/>
      <c r="D29" s="22"/>
      <c r="E29" s="21"/>
      <c r="F29" s="8"/>
      <c r="G29" s="21"/>
      <c r="H29" s="26"/>
    </row>
    <row r="30" spans="1:10" x14ac:dyDescent="0.2">
      <c r="A30" s="43" t="s">
        <v>17</v>
      </c>
      <c r="B30" s="49">
        <v>1988305</v>
      </c>
      <c r="C30" s="49">
        <v>2298.15</v>
      </c>
      <c r="D30" s="49">
        <v>0</v>
      </c>
      <c r="E30" s="44">
        <f>SUM(D30+C30+Dec!E30)</f>
        <v>-1414115.77</v>
      </c>
      <c r="F30" s="50"/>
      <c r="G30" s="44">
        <f>B30-E30</f>
        <v>3402420.77</v>
      </c>
      <c r="H30" s="46">
        <f>E30/B30</f>
        <v>-0.71121672479825782</v>
      </c>
    </row>
    <row r="31" spans="1:10" x14ac:dyDescent="0.2">
      <c r="A31" s="20" t="s">
        <v>18</v>
      </c>
      <c r="B31" s="41">
        <v>-1893894</v>
      </c>
      <c r="C31" s="22">
        <v>-1416947.51</v>
      </c>
      <c r="D31" s="22">
        <v>0</v>
      </c>
      <c r="E31" s="21">
        <f>SUM(D31+C31+Dec!E31-Dec!D31)</f>
        <v>-1893895</v>
      </c>
      <c r="F31" s="8"/>
      <c r="G31" s="21">
        <f>B31-E31</f>
        <v>1</v>
      </c>
      <c r="H31" s="26">
        <f>E31/B31</f>
        <v>1.0000005280126554</v>
      </c>
    </row>
    <row r="32" spans="1:10" x14ac:dyDescent="0.2">
      <c r="A32" s="20"/>
      <c r="B32" s="41"/>
      <c r="C32" s="22"/>
      <c r="D32" s="22"/>
      <c r="E32" s="21"/>
      <c r="F32" s="8"/>
      <c r="G32" s="21"/>
      <c r="H32" s="26"/>
    </row>
    <row r="33" spans="1:8" x14ac:dyDescent="0.2">
      <c r="A33" s="20" t="s">
        <v>23</v>
      </c>
      <c r="B33" s="41"/>
      <c r="C33" s="22"/>
      <c r="D33" s="22"/>
      <c r="E33" s="21"/>
      <c r="F33" s="8"/>
      <c r="G33" s="21"/>
      <c r="H33" s="26"/>
    </row>
    <row r="34" spans="1:8" x14ac:dyDescent="0.2">
      <c r="A34" s="43" t="s">
        <v>17</v>
      </c>
      <c r="B34" s="49">
        <v>10800</v>
      </c>
      <c r="C34" s="49">
        <v>250</v>
      </c>
      <c r="D34" s="49">
        <v>0</v>
      </c>
      <c r="E34" s="44">
        <f>SUM(D34+C34+Dec!E34)</f>
        <v>11542.56</v>
      </c>
      <c r="F34" s="50"/>
      <c r="G34" s="44">
        <f>B34-E34</f>
        <v>-742.55999999999949</v>
      </c>
      <c r="H34" s="46">
        <f>E34/B34</f>
        <v>1.0687555555555555</v>
      </c>
    </row>
    <row r="35" spans="1:8" x14ac:dyDescent="0.2">
      <c r="A35" s="20" t="s">
        <v>18</v>
      </c>
      <c r="B35" s="41">
        <v>-10800</v>
      </c>
      <c r="C35" s="22">
        <v>-9150</v>
      </c>
      <c r="D35" s="22">
        <v>0</v>
      </c>
      <c r="E35" s="21">
        <f>SUM(D35+C35+Dec!E35-Dec!D35)</f>
        <v>-10700</v>
      </c>
      <c r="F35" s="8"/>
      <c r="G35" s="21">
        <f>B35-E35</f>
        <v>-100</v>
      </c>
      <c r="H35" s="26">
        <f>E35/B35</f>
        <v>0.9907407407407407</v>
      </c>
    </row>
    <row r="36" spans="1:8" x14ac:dyDescent="0.2">
      <c r="A36" s="20"/>
      <c r="B36" s="41"/>
      <c r="C36" s="22"/>
      <c r="D36" s="22"/>
      <c r="E36" s="21"/>
      <c r="F36" s="8"/>
      <c r="G36" s="21"/>
      <c r="H36" s="26"/>
    </row>
    <row r="37" spans="1:8" x14ac:dyDescent="0.2">
      <c r="A37" s="20" t="s">
        <v>24</v>
      </c>
      <c r="B37" s="41"/>
      <c r="C37" s="22"/>
      <c r="D37" s="22"/>
      <c r="E37" s="21"/>
      <c r="F37" s="8"/>
      <c r="G37" s="21"/>
      <c r="H37" s="26"/>
    </row>
    <row r="38" spans="1:8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SUM(D38+C38+Dec!E38)</f>
        <v>0</v>
      </c>
      <c r="F38" s="50"/>
      <c r="G38" s="44">
        <f>B38-E38</f>
        <v>0</v>
      </c>
      <c r="H38" s="46" t="e">
        <f>E38/B38</f>
        <v>#DIV/0!</v>
      </c>
    </row>
    <row r="39" spans="1:8" x14ac:dyDescent="0.2">
      <c r="A39" s="20" t="s">
        <v>18</v>
      </c>
      <c r="B39" s="41">
        <v>0</v>
      </c>
      <c r="C39" s="22">
        <v>0</v>
      </c>
      <c r="D39" s="22">
        <v>0</v>
      </c>
      <c r="E39" s="21">
        <f>SUM(D39+C39+Dec!E39-Dec!D39)</f>
        <v>0</v>
      </c>
      <c r="F39" s="8"/>
      <c r="G39" s="21">
        <f>B39-E39</f>
        <v>0</v>
      </c>
      <c r="H39" s="26" t="e">
        <f>E39/B39</f>
        <v>#DIV/0!</v>
      </c>
    </row>
    <row r="40" spans="1:8" x14ac:dyDescent="0.2">
      <c r="A40" s="20"/>
      <c r="B40" s="41"/>
      <c r="C40" s="22"/>
      <c r="D40" s="22"/>
      <c r="E40" s="21"/>
      <c r="F40" s="8"/>
      <c r="G40" s="21"/>
      <c r="H40" s="26"/>
    </row>
    <row r="41" spans="1:8" x14ac:dyDescent="0.2">
      <c r="A41" s="20" t="s">
        <v>25</v>
      </c>
      <c r="B41" s="41"/>
      <c r="C41" s="22"/>
      <c r="D41" s="22"/>
      <c r="E41" s="21"/>
      <c r="F41" s="8"/>
      <c r="G41" s="21"/>
      <c r="H41" s="26"/>
    </row>
    <row r="42" spans="1:8" x14ac:dyDescent="0.2">
      <c r="A42" s="43" t="s">
        <v>17</v>
      </c>
      <c r="B42" s="49">
        <v>95805.37</v>
      </c>
      <c r="C42" s="49">
        <v>25348.53</v>
      </c>
      <c r="D42" s="49">
        <v>0</v>
      </c>
      <c r="E42" s="44">
        <f>SUM(D42+C42+Dec!E42)</f>
        <v>92191.12000000001</v>
      </c>
      <c r="F42" s="50"/>
      <c r="G42" s="44">
        <f>B42-E42</f>
        <v>3614.2499999999854</v>
      </c>
      <c r="H42" s="46">
        <f>E42/B42</f>
        <v>0.96227507915266142</v>
      </c>
    </row>
    <row r="43" spans="1:8" x14ac:dyDescent="0.2">
      <c r="A43" s="20" t="s">
        <v>18</v>
      </c>
      <c r="B43" s="41">
        <v>-95805.37</v>
      </c>
      <c r="C43" s="22">
        <v>-19344.349999999999</v>
      </c>
      <c r="D43" s="22">
        <v>-1506.8</v>
      </c>
      <c r="E43" s="21">
        <f>SUM(D43+C43+Dec!E43-Dec!D43)</f>
        <v>-90326.839999999982</v>
      </c>
      <c r="F43" s="8"/>
      <c r="G43" s="21">
        <f>B43-E43</f>
        <v>-5478.5300000000134</v>
      </c>
      <c r="H43" s="26">
        <f>E43/B43</f>
        <v>0.94281604465386426</v>
      </c>
    </row>
    <row r="44" spans="1:8" x14ac:dyDescent="0.2">
      <c r="A44" s="20"/>
      <c r="B44" s="41"/>
      <c r="C44" s="22"/>
      <c r="D44" s="22"/>
      <c r="E44" s="21"/>
      <c r="F44" s="8"/>
      <c r="G44" s="21"/>
      <c r="H44" s="26"/>
    </row>
    <row r="45" spans="1:8" x14ac:dyDescent="0.2">
      <c r="A45" s="20" t="s">
        <v>26</v>
      </c>
      <c r="B45" s="41"/>
      <c r="C45" s="22"/>
      <c r="D45" s="22"/>
      <c r="E45" s="21"/>
      <c r="F45" s="8"/>
      <c r="G45" s="21"/>
      <c r="H45" s="26"/>
    </row>
    <row r="46" spans="1:8" x14ac:dyDescent="0.2">
      <c r="A46" s="43" t="s">
        <v>17</v>
      </c>
      <c r="B46" s="49">
        <v>6700</v>
      </c>
      <c r="C46" s="49">
        <v>-3.24</v>
      </c>
      <c r="D46" s="49">
        <v>0</v>
      </c>
      <c r="E46" s="44">
        <f>SUM(D46+C46+Dec!E46)</f>
        <v>922.63000000000011</v>
      </c>
      <c r="F46" s="50"/>
      <c r="G46" s="44">
        <f>B46-E46</f>
        <v>5777.37</v>
      </c>
      <c r="H46" s="46">
        <f>E46/B46</f>
        <v>0.13770597014925376</v>
      </c>
    </row>
    <row r="47" spans="1:8" x14ac:dyDescent="0.2">
      <c r="A47" s="20" t="s">
        <v>18</v>
      </c>
      <c r="B47" s="41">
        <v>-74979</v>
      </c>
      <c r="C47" s="22">
        <v>-22501.200000000001</v>
      </c>
      <c r="D47" s="22">
        <v>0</v>
      </c>
      <c r="E47" s="21">
        <f>SUM(D47+C47+Dec!E47-Dec!D47)</f>
        <v>-22501.200000000001</v>
      </c>
      <c r="F47" s="8"/>
      <c r="G47" s="21">
        <f>B47-E47</f>
        <v>-52477.8</v>
      </c>
      <c r="H47" s="26">
        <f>E47/B47</f>
        <v>0.30010002800784219</v>
      </c>
    </row>
    <row r="48" spans="1:8" x14ac:dyDescent="0.2">
      <c r="A48" s="20"/>
      <c r="B48" s="41"/>
      <c r="C48" s="22"/>
      <c r="D48" s="22"/>
      <c r="E48" s="21"/>
      <c r="F48" s="8"/>
      <c r="G48" s="21"/>
      <c r="H48" s="26"/>
    </row>
    <row r="49" spans="1:8" x14ac:dyDescent="0.2">
      <c r="A49" s="20" t="s">
        <v>27</v>
      </c>
      <c r="B49" s="41"/>
      <c r="C49" s="22"/>
      <c r="D49" s="22"/>
      <c r="E49" s="21"/>
      <c r="F49" s="8"/>
      <c r="G49" s="21"/>
      <c r="H49" s="26"/>
    </row>
    <row r="50" spans="1:8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SUM(D50+C50+Dec!E50)</f>
        <v>-134431.12</v>
      </c>
      <c r="F50" s="50"/>
      <c r="G50" s="44">
        <f>B50-E50</f>
        <v>273313.12</v>
      </c>
      <c r="H50" s="46">
        <f>E50/B50</f>
        <v>-0.96795207442289133</v>
      </c>
    </row>
    <row r="51" spans="1:8" x14ac:dyDescent="0.2">
      <c r="A51" s="20" t="s">
        <v>18</v>
      </c>
      <c r="B51" s="41">
        <v>-133212.5</v>
      </c>
      <c r="C51" s="22">
        <v>-119506.25</v>
      </c>
      <c r="D51" s="22">
        <v>0</v>
      </c>
      <c r="E51" s="21">
        <f>SUM(D51+C51+Dec!E51-Dec!D51)</f>
        <v>-134012.5</v>
      </c>
      <c r="F51" s="8"/>
      <c r="G51" s="21">
        <f>B51-E51</f>
        <v>800</v>
      </c>
      <c r="H51" s="26">
        <f>E51/B51</f>
        <v>1.0060054424322042</v>
      </c>
    </row>
    <row r="52" spans="1:8" x14ac:dyDescent="0.2">
      <c r="A52" s="20"/>
      <c r="B52" s="41"/>
      <c r="C52" s="22"/>
      <c r="D52" s="22"/>
      <c r="E52" s="21"/>
      <c r="F52" s="8"/>
      <c r="G52" s="21"/>
      <c r="H52" s="26"/>
    </row>
    <row r="53" spans="1:8" x14ac:dyDescent="0.2">
      <c r="A53" s="20"/>
      <c r="B53" s="41"/>
      <c r="C53" s="22"/>
      <c r="D53" s="22"/>
      <c r="E53" s="20"/>
      <c r="F53" s="5"/>
      <c r="G53" s="20"/>
      <c r="H53" s="26"/>
    </row>
    <row r="54" spans="1:8" x14ac:dyDescent="0.2">
      <c r="A54" s="23" t="s">
        <v>28</v>
      </c>
      <c r="B54" s="41">
        <f>SUM(B14+B18+B22+B30+B34+B38+B42+B46+B50)</f>
        <v>12267524.409999998</v>
      </c>
      <c r="C54" s="22">
        <f>SUM(C14+C18+C22+C30+C38+C42+C34+C46+C50+C26)</f>
        <v>955118.16000000015</v>
      </c>
      <c r="D54" s="22">
        <f>SUM(D14+D18+D22+D30+D34+D38+D42+D46+D50)</f>
        <v>0</v>
      </c>
      <c r="E54" s="22">
        <f>E14+E18+E22+E30+E34+E52+E38+E42+E46+E50+E26</f>
        <v>6786695.6900000004</v>
      </c>
      <c r="F54" s="8"/>
      <c r="G54" s="22">
        <f>G14+G18+G22+G30+G34+G52+G38+G42+G46+G50+G26</f>
        <v>5480828.7199999997</v>
      </c>
      <c r="H54" s="26">
        <f>E54/B54</f>
        <v>0.55322455152139383</v>
      </c>
    </row>
    <row r="55" spans="1:8" x14ac:dyDescent="0.2">
      <c r="A55" s="24" t="s">
        <v>29</v>
      </c>
      <c r="B55" s="41">
        <f>SUM(B15+B19+B23+B31+B35+B39+B43+B47+B51+B27)</f>
        <v>-21971384.369999997</v>
      </c>
      <c r="C55" s="22">
        <f>SUM(C51+C47+C43+C39+C31+C27+C23+C19+C15+C35)</f>
        <v>-3183098.2</v>
      </c>
      <c r="D55" s="22">
        <f>SUM(D15+D19+D23+D31+D35+D39+D43+D47+D51+D27)</f>
        <v>-126958.95</v>
      </c>
      <c r="E55" s="22">
        <f>SUM(E51+E47+E43+E39+E35+E31+E27+E23+E19+E15)</f>
        <v>-13362593.309999999</v>
      </c>
      <c r="F55" s="8"/>
      <c r="G55" s="22">
        <f>SUM(G51+G47+G43+G39+G35+G31+G27+G23+G19+G15)</f>
        <v>-8608791.0600000005</v>
      </c>
      <c r="H55" s="26">
        <f>E55/B55</f>
        <v>0.60818167326067307</v>
      </c>
    </row>
    <row r="56" spans="1:8" x14ac:dyDescent="0.2">
      <c r="A56" s="5"/>
      <c r="B56" s="5"/>
      <c r="C56" s="5"/>
      <c r="D56" s="5"/>
      <c r="E56" s="5"/>
      <c r="F56" s="5"/>
      <c r="G56" s="5"/>
      <c r="H56" s="14"/>
    </row>
    <row r="57" spans="1:8" ht="15" x14ac:dyDescent="0.3">
      <c r="A57" s="105"/>
      <c r="B57" s="105"/>
      <c r="C57" s="105"/>
      <c r="D57" s="105"/>
      <c r="E57" s="105"/>
      <c r="F57" s="105"/>
      <c r="G57" s="105"/>
      <c r="H57" s="105"/>
    </row>
    <row r="58" spans="1:8" x14ac:dyDescent="0.2">
      <c r="A58" s="2" t="s">
        <v>30</v>
      </c>
    </row>
    <row r="60" spans="1:8" x14ac:dyDescent="0.2">
      <c r="A60" s="96"/>
      <c r="B60" s="39" t="s">
        <v>11</v>
      </c>
      <c r="C60" s="39" t="s">
        <v>67</v>
      </c>
      <c r="D60" s="6"/>
      <c r="E60" s="3"/>
      <c r="F60" s="3"/>
      <c r="G60" s="3"/>
      <c r="H60" s="9"/>
    </row>
    <row r="61" spans="1:8" ht="23.25" x14ac:dyDescent="0.35">
      <c r="A61" s="96" t="s">
        <v>32</v>
      </c>
      <c r="B61" s="39" t="s">
        <v>33</v>
      </c>
      <c r="C61" s="39" t="s">
        <v>33</v>
      </c>
      <c r="D61" s="6"/>
      <c r="E61" s="53" t="s">
        <v>69</v>
      </c>
      <c r="F61"/>
      <c r="H61" s="9"/>
    </row>
    <row r="62" spans="1:8" ht="15" x14ac:dyDescent="0.2">
      <c r="A62" s="97" t="s">
        <v>36</v>
      </c>
      <c r="B62" s="52">
        <v>371617.48</v>
      </c>
      <c r="C62" s="52">
        <v>689687.34</v>
      </c>
      <c r="D62" s="8"/>
      <c r="E62"/>
      <c r="G62"/>
      <c r="H62" s="11"/>
    </row>
    <row r="63" spans="1:8" ht="15.75" x14ac:dyDescent="0.25">
      <c r="A63" s="97" t="s">
        <v>38</v>
      </c>
      <c r="B63" s="52">
        <v>54565.36</v>
      </c>
      <c r="C63" s="52">
        <v>63423.11</v>
      </c>
      <c r="D63" s="8"/>
      <c r="E63" s="54" t="s">
        <v>34</v>
      </c>
      <c r="G63" s="54" t="s">
        <v>35</v>
      </c>
      <c r="H63" s="11"/>
    </row>
    <row r="64" spans="1:8" ht="15" x14ac:dyDescent="0.25">
      <c r="A64" s="97" t="s">
        <v>40</v>
      </c>
      <c r="B64" s="52">
        <v>444.39</v>
      </c>
      <c r="C64" s="52">
        <v>444.39</v>
      </c>
      <c r="D64" s="8"/>
      <c r="E64" s="55" t="s">
        <v>37</v>
      </c>
      <c r="G64" s="68">
        <v>29067.25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39</v>
      </c>
      <c r="G65" s="68">
        <v>16821.64</v>
      </c>
      <c r="H65" s="11"/>
    </row>
    <row r="66" spans="1:8" ht="15" x14ac:dyDescent="0.25">
      <c r="A66" s="97" t="s">
        <v>44</v>
      </c>
      <c r="B66" s="52">
        <v>7847.1</v>
      </c>
      <c r="C66" s="52">
        <v>7670.49</v>
      </c>
      <c r="D66" s="8"/>
      <c r="E66" s="55" t="s">
        <v>41</v>
      </c>
      <c r="G66" s="68">
        <v>347539.20000000001</v>
      </c>
    </row>
    <row r="67" spans="1:8" ht="15" x14ac:dyDescent="0.25">
      <c r="A67" s="98" t="s">
        <v>46</v>
      </c>
      <c r="B67" s="52">
        <v>3956</v>
      </c>
      <c r="C67" s="52">
        <v>4940.5</v>
      </c>
      <c r="D67" s="8"/>
      <c r="E67" s="55" t="s">
        <v>43</v>
      </c>
      <c r="G67" s="68">
        <v>117245.74</v>
      </c>
      <c r="H67" s="11"/>
    </row>
    <row r="68" spans="1:8" ht="15" x14ac:dyDescent="0.25">
      <c r="A68" s="97" t="s">
        <v>48</v>
      </c>
      <c r="B68" s="52">
        <v>8632.82</v>
      </c>
      <c r="C68" s="52">
        <v>8541.9</v>
      </c>
      <c r="D68" s="8"/>
      <c r="E68" s="55" t="s">
        <v>45</v>
      </c>
      <c r="G68" s="68">
        <v>16882.009999999998</v>
      </c>
      <c r="H68" s="11"/>
    </row>
    <row r="69" spans="1:8" ht="15" x14ac:dyDescent="0.25">
      <c r="A69" s="98" t="s">
        <v>70</v>
      </c>
      <c r="B69" s="52">
        <v>0.03</v>
      </c>
      <c r="C69" s="52"/>
      <c r="D69" s="8"/>
      <c r="E69" s="55" t="s">
        <v>47</v>
      </c>
      <c r="G69" s="68">
        <v>61679.4</v>
      </c>
    </row>
    <row r="70" spans="1:8" ht="15" x14ac:dyDescent="0.25">
      <c r="A70" s="98" t="s">
        <v>71</v>
      </c>
      <c r="B70" s="52">
        <v>176.17</v>
      </c>
      <c r="C70" s="52"/>
      <c r="D70" s="8"/>
      <c r="E70" s="93" t="s">
        <v>52</v>
      </c>
      <c r="G70" s="68">
        <v>8896.5</v>
      </c>
      <c r="H70" s="11"/>
    </row>
    <row r="71" spans="1:8" ht="15" x14ac:dyDescent="0.25">
      <c r="A71" s="98"/>
      <c r="B71" s="52"/>
      <c r="C71" s="52"/>
      <c r="E71" s="55" t="s">
        <v>51</v>
      </c>
      <c r="G71" s="68">
        <v>80</v>
      </c>
    </row>
    <row r="72" spans="1:8" ht="15" x14ac:dyDescent="0.25">
      <c r="A72" s="98"/>
      <c r="B72" s="52"/>
      <c r="C72" s="52"/>
      <c r="E72" s="55" t="s">
        <v>72</v>
      </c>
      <c r="G72" s="68">
        <v>161.44999999999999</v>
      </c>
    </row>
    <row r="73" spans="1:8" ht="15" x14ac:dyDescent="0.25">
      <c r="A73" s="98"/>
      <c r="B73" s="52"/>
      <c r="C73" s="52"/>
      <c r="E73" s="55" t="s">
        <v>73</v>
      </c>
      <c r="G73" s="68">
        <v>750</v>
      </c>
    </row>
    <row r="74" spans="1:8" ht="15" x14ac:dyDescent="0.25">
      <c r="A74" s="98"/>
      <c r="B74" s="52"/>
      <c r="C74" s="52"/>
      <c r="E74" s="55" t="s">
        <v>74</v>
      </c>
      <c r="G74" s="68">
        <v>87</v>
      </c>
    </row>
    <row r="75" spans="1:8" ht="15" x14ac:dyDescent="0.25">
      <c r="A75" s="98" t="s">
        <v>54</v>
      </c>
      <c r="B75" s="52"/>
      <c r="C75" s="52"/>
      <c r="E75" s="55" t="s">
        <v>75</v>
      </c>
      <c r="G75" s="68">
        <v>1536053.76</v>
      </c>
    </row>
    <row r="76" spans="1:8" ht="15" x14ac:dyDescent="0.25">
      <c r="A76" s="98" t="s">
        <v>54</v>
      </c>
      <c r="B76" s="52"/>
      <c r="C76" s="52"/>
      <c r="E76" s="55" t="s">
        <v>76</v>
      </c>
      <c r="G76" s="68">
        <v>10517.75</v>
      </c>
    </row>
    <row r="77" spans="1:8" ht="16.5" thickBot="1" x14ac:dyDescent="0.3">
      <c r="A77" s="98"/>
      <c r="B77" s="52"/>
      <c r="C77" s="52"/>
      <c r="E77"/>
      <c r="G77" s="57">
        <f>SUM(G64:G76)</f>
        <v>2145781.7000000002</v>
      </c>
    </row>
    <row r="78" spans="1:8" ht="13.5" thickTop="1" x14ac:dyDescent="0.2">
      <c r="A78" s="98"/>
      <c r="B78" s="52"/>
      <c r="C78" s="52"/>
      <c r="D78" s="5"/>
      <c r="F78" s="10"/>
    </row>
    <row r="79" spans="1:8" s="5" customFormat="1" ht="13.5" thickTop="1" x14ac:dyDescent="0.2">
      <c r="A79" s="99" t="s">
        <v>55</v>
      </c>
      <c r="B79" s="64">
        <f>SUM(B62-B63-B64+B65-B66-B67-B68+B69+B70)</f>
        <v>301448.01</v>
      </c>
      <c r="C79" s="64">
        <f>SUM(C62-C63-C64+C65-C66-C67-C68-C69-C72+C75+C76-C77-C78)</f>
        <v>609766.94999999995</v>
      </c>
      <c r="H79" s="14"/>
    </row>
    <row r="80" spans="1:8" s="5" customFormat="1" x14ac:dyDescent="0.2">
      <c r="A80" s="38" t="s">
        <v>56</v>
      </c>
      <c r="B80" s="52"/>
      <c r="C80" s="52"/>
      <c r="H80" s="14"/>
    </row>
    <row r="81" spans="1:8" s="5" customFormat="1" x14ac:dyDescent="0.2">
      <c r="A81" s="40" t="s">
        <v>57</v>
      </c>
      <c r="B81" s="101">
        <v>260692.06</v>
      </c>
      <c r="C81" s="101">
        <v>817009.88</v>
      </c>
      <c r="H81" s="14"/>
    </row>
    <row r="82" spans="1:8" s="5" customFormat="1" x14ac:dyDescent="0.2">
      <c r="A82" s="40" t="s">
        <v>58</v>
      </c>
      <c r="B82" s="101">
        <v>1322778.73</v>
      </c>
      <c r="C82" s="101">
        <v>1960717.66</v>
      </c>
      <c r="H82" s="14"/>
    </row>
    <row r="83" spans="1:8" s="5" customFormat="1" x14ac:dyDescent="0.2">
      <c r="A83" s="40" t="s">
        <v>59</v>
      </c>
      <c r="B83" s="101">
        <v>7997618.79</v>
      </c>
      <c r="C83" s="101">
        <v>8721762.75</v>
      </c>
      <c r="H83" s="14"/>
    </row>
    <row r="84" spans="1:8" ht="15" x14ac:dyDescent="0.35">
      <c r="A84" s="42" t="s">
        <v>60</v>
      </c>
      <c r="B84" s="65">
        <f>SUM(B81:B83)</f>
        <v>9581089.5800000001</v>
      </c>
      <c r="C84" s="65">
        <f>SUM(C81:C83)</f>
        <v>11499490.289999999</v>
      </c>
    </row>
    <row r="85" spans="1:8" x14ac:dyDescent="0.2">
      <c r="A85" s="5"/>
      <c r="B85" s="84"/>
      <c r="C85" s="84"/>
    </row>
    <row r="86" spans="1:8" x14ac:dyDescent="0.2">
      <c r="A86" s="37"/>
      <c r="B86" s="37"/>
      <c r="C86" s="37"/>
    </row>
    <row r="87" spans="1:8" x14ac:dyDescent="0.2">
      <c r="A87" s="37"/>
      <c r="B87" s="37"/>
      <c r="C87" s="37"/>
    </row>
  </sheetData>
  <mergeCells count="4">
    <mergeCell ref="A57:H57"/>
    <mergeCell ref="A2:H2"/>
    <mergeCell ref="A3:H3"/>
    <mergeCell ref="A4:H4"/>
  </mergeCells>
  <phoneticPr fontId="3" type="noConversion"/>
  <dataValidations count="1">
    <dataValidation showInputMessage="1" showErrorMessage="1" sqref="C6"/>
  </dataValidations>
  <pageMargins left="0.5" right="0.5" top="0.5" bottom="0.5" header="0.5" footer="0.5"/>
  <pageSetup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52" zoomScaleNormal="100" workbookViewId="0">
      <selection activeCell="A58" sqref="A58:C86"/>
    </sheetView>
  </sheetViews>
  <sheetFormatPr defaultRowHeight="12.75" x14ac:dyDescent="0.2"/>
  <cols>
    <col min="1" max="1" width="21.109375" style="1" customWidth="1"/>
    <col min="2" max="3" width="13.6640625" style="1" customWidth="1"/>
    <col min="4" max="4" width="12.44140625" style="1" customWidth="1"/>
    <col min="5" max="5" width="18.6640625" style="1" customWidth="1"/>
    <col min="6" max="6" width="2.77734375" style="1" customWidth="1"/>
    <col min="7" max="7" width="16" style="1" customWidth="1"/>
    <col min="8" max="8" width="13.5546875" style="10" customWidth="1"/>
    <col min="9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ht="15" x14ac:dyDescent="0.3">
      <c r="A4" s="104"/>
      <c r="B4" s="104"/>
      <c r="C4" s="104"/>
      <c r="D4" s="104"/>
      <c r="E4" s="104"/>
      <c r="F4" s="104"/>
      <c r="G4" s="104"/>
      <c r="H4" s="104"/>
    </row>
    <row r="5" spans="1:8" x14ac:dyDescent="0.2">
      <c r="A5" s="5"/>
      <c r="B5" s="5"/>
      <c r="C5" s="5"/>
      <c r="D5" s="5"/>
      <c r="E5" s="5"/>
      <c r="F5" s="5"/>
      <c r="G5" s="5"/>
      <c r="H5" s="14"/>
    </row>
    <row r="6" spans="1:8" x14ac:dyDescent="0.2">
      <c r="A6" s="5"/>
      <c r="B6" s="15"/>
      <c r="C6" s="5"/>
      <c r="D6" s="5"/>
      <c r="E6" s="5"/>
      <c r="F6" s="5"/>
      <c r="G6" s="5"/>
      <c r="H6" s="14"/>
    </row>
    <row r="7" spans="1:8" x14ac:dyDescent="0.2">
      <c r="A7" s="102"/>
      <c r="B7" s="5"/>
      <c r="C7" s="35"/>
      <c r="D7" s="5"/>
      <c r="E7" s="5"/>
      <c r="F7" s="5"/>
      <c r="G7" s="16" t="s">
        <v>3</v>
      </c>
      <c r="H7" s="34">
        <v>42401</v>
      </c>
    </row>
    <row r="8" spans="1:8" x14ac:dyDescent="0.2">
      <c r="A8" s="17" t="s">
        <v>4</v>
      </c>
      <c r="B8" s="5"/>
      <c r="C8" s="5"/>
      <c r="D8" s="5"/>
      <c r="E8" s="5"/>
      <c r="F8" s="5"/>
      <c r="G8" s="5"/>
      <c r="H8" s="14"/>
    </row>
    <row r="9" spans="1:8" x14ac:dyDescent="0.2">
      <c r="A9" s="5"/>
      <c r="B9" s="5"/>
      <c r="C9" s="5"/>
      <c r="D9" s="5"/>
      <c r="E9" s="5"/>
      <c r="F9" s="5"/>
      <c r="G9" s="5"/>
      <c r="H9" s="14"/>
    </row>
    <row r="10" spans="1:8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</row>
    <row r="11" spans="1:8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</row>
    <row r="12" spans="1:8" x14ac:dyDescent="0.2">
      <c r="A12" s="20"/>
      <c r="B12" s="20"/>
      <c r="C12" s="20"/>
      <c r="D12" s="20"/>
      <c r="E12" s="20"/>
      <c r="F12" s="5"/>
      <c r="G12" s="20"/>
      <c r="H12" s="26"/>
    </row>
    <row r="13" spans="1:8" x14ac:dyDescent="0.2">
      <c r="A13" s="20" t="s">
        <v>16</v>
      </c>
      <c r="B13" s="21"/>
      <c r="C13" s="21"/>
      <c r="D13" s="21"/>
      <c r="E13" s="21"/>
      <c r="F13" s="7"/>
      <c r="G13" s="21"/>
      <c r="H13" s="26"/>
    </row>
    <row r="14" spans="1:8" x14ac:dyDescent="0.2">
      <c r="A14" s="43" t="s">
        <v>17</v>
      </c>
      <c r="B14" s="44">
        <v>9355092.0399999991</v>
      </c>
      <c r="C14" s="44">
        <v>781392.11</v>
      </c>
      <c r="D14" s="44">
        <v>0</v>
      </c>
      <c r="E14" s="44">
        <f>SUM(C14+D14+Jan!E14-Jan!D14)</f>
        <v>8711025.8300000001</v>
      </c>
      <c r="F14" s="45"/>
      <c r="G14" s="44">
        <f>B14-E14</f>
        <v>644066.20999999903</v>
      </c>
      <c r="H14" s="46">
        <f>E14/B14</f>
        <v>0.93115340744418806</v>
      </c>
    </row>
    <row r="15" spans="1:8" x14ac:dyDescent="0.2">
      <c r="A15" s="20" t="s">
        <v>18</v>
      </c>
      <c r="B15" s="51">
        <v>-9288376</v>
      </c>
      <c r="C15" s="21">
        <v>-745862.21</v>
      </c>
      <c r="D15" s="21">
        <v>-24541.33</v>
      </c>
      <c r="E15" s="21">
        <f>SUM(D15+C15+Jan!E15-Jan!D15)</f>
        <v>-5371644.6600000001</v>
      </c>
      <c r="F15" s="7"/>
      <c r="G15" s="21">
        <f>B15-E15</f>
        <v>-3916731.34</v>
      </c>
      <c r="H15" s="26">
        <f>E15/B15</f>
        <v>0.57831903661092099</v>
      </c>
    </row>
    <row r="16" spans="1:8" x14ac:dyDescent="0.2">
      <c r="A16" s="20"/>
      <c r="B16" s="40"/>
      <c r="C16" s="21"/>
      <c r="D16" s="21"/>
      <c r="E16" s="21"/>
      <c r="F16" s="7"/>
      <c r="G16" s="21"/>
      <c r="H16" s="26"/>
    </row>
    <row r="17" spans="1:8" x14ac:dyDescent="0.2">
      <c r="A17" s="20" t="s">
        <v>19</v>
      </c>
      <c r="B17" s="51"/>
      <c r="C17" s="21"/>
      <c r="D17" s="21"/>
      <c r="E17" s="21"/>
      <c r="F17" s="7"/>
      <c r="G17" s="21"/>
      <c r="H17" s="27"/>
    </row>
    <row r="18" spans="1:8" x14ac:dyDescent="0.2">
      <c r="A18" s="43" t="s">
        <v>17</v>
      </c>
      <c r="B18" s="44">
        <v>415476</v>
      </c>
      <c r="C18" s="44">
        <v>48960.42</v>
      </c>
      <c r="D18" s="44">
        <v>0</v>
      </c>
      <c r="E18" s="44">
        <f>SUM(C18+D18+Jan!E18)</f>
        <v>267254.39999999997</v>
      </c>
      <c r="F18" s="45"/>
      <c r="G18" s="44">
        <f>B18-E18</f>
        <v>148221.60000000003</v>
      </c>
      <c r="H18" s="46">
        <f>E18/B18</f>
        <v>0.6432487075065707</v>
      </c>
    </row>
    <row r="19" spans="1:8" x14ac:dyDescent="0.2">
      <c r="A19" s="20" t="s">
        <v>18</v>
      </c>
      <c r="B19" s="51">
        <v>-492507</v>
      </c>
      <c r="C19" s="21">
        <v>-42009.56</v>
      </c>
      <c r="D19" s="21">
        <v>0</v>
      </c>
      <c r="E19" s="21">
        <f>SUM(C19+D19+Jan!E19-Jan!D19)</f>
        <v>-278724.17</v>
      </c>
      <c r="F19" s="7"/>
      <c r="G19" s="21">
        <f>B19-E19</f>
        <v>-213782.83000000002</v>
      </c>
      <c r="H19" s="26">
        <f>E19/B19</f>
        <v>0.56592935734923566</v>
      </c>
    </row>
    <row r="20" spans="1:8" x14ac:dyDescent="0.2">
      <c r="A20" s="20"/>
      <c r="B20" s="51"/>
      <c r="C20" s="21"/>
      <c r="D20" s="21"/>
      <c r="E20" s="21"/>
      <c r="F20" s="7"/>
      <c r="G20" s="21"/>
      <c r="H20" s="26"/>
    </row>
    <row r="21" spans="1:8" x14ac:dyDescent="0.2">
      <c r="A21" s="20" t="s">
        <v>20</v>
      </c>
      <c r="B21" s="51"/>
      <c r="C21" s="21"/>
      <c r="D21" s="21"/>
      <c r="E21" s="21"/>
      <c r="F21" s="7"/>
      <c r="G21" s="21"/>
      <c r="H21" s="26"/>
    </row>
    <row r="22" spans="1:8" x14ac:dyDescent="0.2">
      <c r="A22" s="43" t="s">
        <v>17</v>
      </c>
      <c r="B22" s="44">
        <v>256464</v>
      </c>
      <c r="C22" s="44">
        <v>10739.2</v>
      </c>
      <c r="D22" s="44">
        <v>0</v>
      </c>
      <c r="E22" s="44">
        <f>SUM(C22+D22+Jan!E22)</f>
        <v>43028.960000000006</v>
      </c>
      <c r="F22" s="45"/>
      <c r="G22" s="44">
        <f>B22-E22</f>
        <v>213435.03999999998</v>
      </c>
      <c r="H22" s="46">
        <f>E22/B22</f>
        <v>0.1677777777777778</v>
      </c>
    </row>
    <row r="23" spans="1:8" x14ac:dyDescent="0.2">
      <c r="A23" s="20" t="s">
        <v>18</v>
      </c>
      <c r="B23" s="51">
        <v>-268192.5</v>
      </c>
      <c r="C23" s="21">
        <v>-11472.69</v>
      </c>
      <c r="D23" s="21">
        <v>-430.6</v>
      </c>
      <c r="E23" s="21">
        <f>SUM(C23+D23+Jan!E23-Jan!D23)</f>
        <v>-153514.56000000003</v>
      </c>
      <c r="F23" s="7"/>
      <c r="G23" s="21">
        <f>B23-E23</f>
        <v>-114677.93999999997</v>
      </c>
      <c r="H23" s="26">
        <f>E23/B23</f>
        <v>0.57240437372409758</v>
      </c>
    </row>
    <row r="24" spans="1:8" x14ac:dyDescent="0.2">
      <c r="A24" s="20"/>
      <c r="B24" s="51"/>
      <c r="C24" s="21"/>
      <c r="D24" s="21"/>
      <c r="E24" s="21"/>
      <c r="F24" s="7"/>
      <c r="G24" s="21"/>
      <c r="H24" s="26"/>
    </row>
    <row r="25" spans="1:8" x14ac:dyDescent="0.2">
      <c r="A25" s="20" t="s">
        <v>21</v>
      </c>
      <c r="B25" s="51"/>
      <c r="C25" s="21"/>
      <c r="D25" s="21"/>
      <c r="E25" s="21"/>
      <c r="F25" s="7"/>
      <c r="G25" s="21"/>
      <c r="H25" s="26"/>
    </row>
    <row r="26" spans="1:8" x14ac:dyDescent="0.2">
      <c r="A26" s="43" t="s">
        <v>17</v>
      </c>
      <c r="B26" s="44">
        <v>0</v>
      </c>
      <c r="C26" s="44">
        <v>5827.02</v>
      </c>
      <c r="D26" s="44">
        <v>0</v>
      </c>
      <c r="E26" s="44">
        <f>SUM(C26+D26+Jan!E26)</f>
        <v>56195.83</v>
      </c>
      <c r="F26" s="45"/>
      <c r="G26" s="44">
        <f>SUM(B26-E26)</f>
        <v>-56195.83</v>
      </c>
      <c r="H26" s="46">
        <v>0</v>
      </c>
    </row>
    <row r="27" spans="1:8" x14ac:dyDescent="0.2">
      <c r="A27" s="20" t="s">
        <v>18</v>
      </c>
      <c r="B27" s="51">
        <v>-9713618</v>
      </c>
      <c r="C27" s="21">
        <v>-1394297.47</v>
      </c>
      <c r="D27" s="21">
        <v>-80548</v>
      </c>
      <c r="E27" s="21">
        <f>SUM(C27+D27+Jan!E27-Jan!D27)</f>
        <v>-7580984.0899999989</v>
      </c>
      <c r="F27" s="7"/>
      <c r="G27" s="21">
        <f>SUM(B27-E27)</f>
        <v>-2132633.9100000011</v>
      </c>
      <c r="H27" s="26">
        <f>SUM(E27/B27)</f>
        <v>0.78044906542546755</v>
      </c>
    </row>
    <row r="28" spans="1:8" x14ac:dyDescent="0.2">
      <c r="A28" s="20"/>
      <c r="B28" s="51"/>
      <c r="C28" s="21"/>
      <c r="D28" s="21"/>
      <c r="E28" s="21"/>
      <c r="F28" s="7"/>
      <c r="G28" s="21"/>
      <c r="H28" s="26"/>
    </row>
    <row r="29" spans="1:8" x14ac:dyDescent="0.2">
      <c r="A29" s="20" t="s">
        <v>22</v>
      </c>
      <c r="B29" s="41"/>
      <c r="C29" s="22"/>
      <c r="D29" s="22"/>
      <c r="E29" s="21"/>
      <c r="F29" s="8"/>
      <c r="G29" s="21"/>
      <c r="H29" s="26"/>
    </row>
    <row r="30" spans="1:8" x14ac:dyDescent="0.2">
      <c r="A30" s="43" t="s">
        <v>17</v>
      </c>
      <c r="B30" s="49">
        <v>1988305</v>
      </c>
      <c r="C30" s="49">
        <v>2298.13</v>
      </c>
      <c r="D30" s="49">
        <v>0</v>
      </c>
      <c r="E30" s="44">
        <f>SUM(C30+D30+Jan!E30)</f>
        <v>-1411817.6400000001</v>
      </c>
      <c r="F30" s="50"/>
      <c r="G30" s="44">
        <f>B30-E30</f>
        <v>3400122.64</v>
      </c>
      <c r="H30" s="46">
        <f>E30/B30</f>
        <v>-0.7100609011192951</v>
      </c>
    </row>
    <row r="31" spans="1:8" x14ac:dyDescent="0.2">
      <c r="A31" s="20" t="s">
        <v>18</v>
      </c>
      <c r="B31" s="41">
        <v>-1893894</v>
      </c>
      <c r="C31" s="22">
        <v>-525</v>
      </c>
      <c r="D31" s="22">
        <v>0</v>
      </c>
      <c r="E31" s="21">
        <f>SUM(C31+D31+Jan!E31-Jan!D31)</f>
        <v>-1894420</v>
      </c>
      <c r="F31" s="8"/>
      <c r="G31" s="21">
        <f>B31-E31</f>
        <v>526</v>
      </c>
      <c r="H31" s="26">
        <f>E31/B31</f>
        <v>1.0002777346567442</v>
      </c>
    </row>
    <row r="32" spans="1:8" x14ac:dyDescent="0.2">
      <c r="A32" s="20"/>
      <c r="B32" s="41"/>
      <c r="C32" s="22"/>
      <c r="D32" s="22"/>
      <c r="E32" s="21"/>
      <c r="F32" s="8"/>
      <c r="G32" s="21"/>
      <c r="H32" s="26"/>
    </row>
    <row r="33" spans="1:8" x14ac:dyDescent="0.2">
      <c r="A33" s="20" t="s">
        <v>23</v>
      </c>
      <c r="B33" s="41"/>
      <c r="C33" s="22"/>
      <c r="D33" s="22"/>
      <c r="E33" s="21"/>
      <c r="F33" s="8"/>
      <c r="G33" s="21"/>
      <c r="H33" s="26"/>
    </row>
    <row r="34" spans="1:8" x14ac:dyDescent="0.2">
      <c r="A34" s="43" t="s">
        <v>17</v>
      </c>
      <c r="B34" s="49">
        <v>10800</v>
      </c>
      <c r="C34" s="49">
        <v>0</v>
      </c>
      <c r="D34" s="49">
        <v>0</v>
      </c>
      <c r="E34" s="44">
        <f>SUM(C34+D34+Jan!E34)</f>
        <v>11542.56</v>
      </c>
      <c r="F34" s="50"/>
      <c r="G34" s="44">
        <f>B34-E34</f>
        <v>-742.55999999999949</v>
      </c>
      <c r="H34" s="46">
        <f>E34/B34</f>
        <v>1.0687555555555555</v>
      </c>
    </row>
    <row r="35" spans="1:8" x14ac:dyDescent="0.2">
      <c r="A35" s="20" t="s">
        <v>18</v>
      </c>
      <c r="B35" s="41">
        <v>-10800</v>
      </c>
      <c r="C35" s="22">
        <v>0</v>
      </c>
      <c r="D35" s="22">
        <v>0</v>
      </c>
      <c r="E35" s="21">
        <f>SUM(C35+D35+Jan!E35-Jan!D35)</f>
        <v>-10700</v>
      </c>
      <c r="F35" s="8"/>
      <c r="G35" s="21">
        <f>B35-E35</f>
        <v>-100</v>
      </c>
      <c r="H35" s="26">
        <f>E35/B35</f>
        <v>0.9907407407407407</v>
      </c>
    </row>
    <row r="36" spans="1:8" x14ac:dyDescent="0.2">
      <c r="A36" s="20"/>
      <c r="B36" s="41"/>
      <c r="C36" s="22"/>
      <c r="D36" s="22"/>
      <c r="E36" s="21"/>
      <c r="F36" s="8"/>
      <c r="G36" s="21"/>
      <c r="H36" s="26"/>
    </row>
    <row r="37" spans="1:8" x14ac:dyDescent="0.2">
      <c r="A37" s="20" t="s">
        <v>24</v>
      </c>
      <c r="B37" s="41"/>
      <c r="C37" s="22"/>
      <c r="D37" s="22"/>
      <c r="E37" s="21"/>
      <c r="F37" s="8"/>
      <c r="G37" s="21"/>
      <c r="H37" s="26"/>
    </row>
    <row r="38" spans="1:8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SUM(C38+D38+Jan!E38)</f>
        <v>0</v>
      </c>
      <c r="F38" s="50"/>
      <c r="G38" s="44">
        <f>B38-E38</f>
        <v>0</v>
      </c>
      <c r="H38" s="46" t="e">
        <f>E38/B38</f>
        <v>#DIV/0!</v>
      </c>
    </row>
    <row r="39" spans="1:8" x14ac:dyDescent="0.2">
      <c r="A39" s="20" t="s">
        <v>18</v>
      </c>
      <c r="B39" s="41">
        <v>0</v>
      </c>
      <c r="C39" s="22">
        <v>0</v>
      </c>
      <c r="D39" s="22">
        <v>0</v>
      </c>
      <c r="E39" s="21">
        <f>SUM(C39+D39+Jan!E39-Jan!D39)</f>
        <v>0</v>
      </c>
      <c r="F39" s="8"/>
      <c r="G39" s="21">
        <f>B39-E39</f>
        <v>0</v>
      </c>
      <c r="H39" s="26" t="e">
        <f>E39/B39</f>
        <v>#DIV/0!</v>
      </c>
    </row>
    <row r="40" spans="1:8" x14ac:dyDescent="0.2">
      <c r="A40" s="20"/>
      <c r="B40" s="41"/>
      <c r="C40" s="22"/>
      <c r="D40" s="22"/>
      <c r="E40" s="21"/>
      <c r="F40" s="8"/>
      <c r="G40" s="21"/>
      <c r="H40" s="26"/>
    </row>
    <row r="41" spans="1:8" x14ac:dyDescent="0.2">
      <c r="A41" s="20" t="s">
        <v>25</v>
      </c>
      <c r="B41" s="41"/>
      <c r="C41" s="22"/>
      <c r="D41" s="22"/>
      <c r="E41" s="21"/>
      <c r="F41" s="8"/>
      <c r="G41" s="21"/>
      <c r="H41" s="26"/>
    </row>
    <row r="42" spans="1:8" x14ac:dyDescent="0.2">
      <c r="A42" s="43" t="s">
        <v>17</v>
      </c>
      <c r="B42" s="49">
        <v>95805.37</v>
      </c>
      <c r="C42" s="49">
        <v>14029.18</v>
      </c>
      <c r="D42" s="49">
        <v>0</v>
      </c>
      <c r="E42" s="44">
        <f>SUM(C42+D42+Jan!E42)</f>
        <v>106220.30000000002</v>
      </c>
      <c r="F42" s="50"/>
      <c r="G42" s="44">
        <f>B42-E42</f>
        <v>-10414.930000000022</v>
      </c>
      <c r="H42" s="46">
        <f>E42/B42</f>
        <v>1.1087092508488827</v>
      </c>
    </row>
    <row r="43" spans="1:8" x14ac:dyDescent="0.2">
      <c r="A43" s="20" t="s">
        <v>18</v>
      </c>
      <c r="B43" s="41">
        <v>-95805.37</v>
      </c>
      <c r="C43" s="22">
        <v>-11604.5</v>
      </c>
      <c r="D43" s="22">
        <v>-1506.8</v>
      </c>
      <c r="E43" s="21">
        <f>SUM(C43+D43+Jan!E43-Jan!D43)</f>
        <v>-101931.33999999998</v>
      </c>
      <c r="F43" s="8"/>
      <c r="G43" s="21">
        <f>B43-E43</f>
        <v>6125.9699999999866</v>
      </c>
      <c r="H43" s="26">
        <f>E43/B43</f>
        <v>1.0639418228852933</v>
      </c>
    </row>
    <row r="44" spans="1:8" x14ac:dyDescent="0.2">
      <c r="A44" s="20"/>
      <c r="B44" s="41"/>
      <c r="C44" s="22"/>
      <c r="D44" s="22"/>
      <c r="E44" s="21"/>
      <c r="F44" s="8"/>
      <c r="G44" s="21"/>
      <c r="H44" s="26"/>
    </row>
    <row r="45" spans="1:8" x14ac:dyDescent="0.2">
      <c r="A45" s="20" t="s">
        <v>26</v>
      </c>
      <c r="B45" s="41"/>
      <c r="C45" s="22"/>
      <c r="D45" s="22"/>
      <c r="E45" s="21"/>
      <c r="F45" s="8"/>
      <c r="G45" s="21"/>
      <c r="H45" s="26"/>
    </row>
    <row r="46" spans="1:8" x14ac:dyDescent="0.2">
      <c r="A46" s="43" t="s">
        <v>17</v>
      </c>
      <c r="B46" s="49">
        <v>6700</v>
      </c>
      <c r="C46" s="49">
        <v>-1.76</v>
      </c>
      <c r="D46" s="49">
        <v>0</v>
      </c>
      <c r="E46" s="44">
        <f>SUM(C46+D46+Jan!E46)</f>
        <v>920.87000000000012</v>
      </c>
      <c r="F46" s="50"/>
      <c r="G46" s="44">
        <f>B46-E46</f>
        <v>5779.13</v>
      </c>
      <c r="H46" s="46">
        <f>E46/B46</f>
        <v>0.13744328358208957</v>
      </c>
    </row>
    <row r="47" spans="1:8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SUM(C47+D47+Jan!E47-Jan!D47)</f>
        <v>-22501.200000000001</v>
      </c>
      <c r="F47" s="8"/>
      <c r="G47" s="21">
        <f>B47-E47</f>
        <v>-52477.8</v>
      </c>
      <c r="H47" s="26">
        <f>E47/B47</f>
        <v>0.30010002800784219</v>
      </c>
    </row>
    <row r="48" spans="1:8" x14ac:dyDescent="0.2">
      <c r="A48" s="20"/>
      <c r="B48" s="41"/>
      <c r="C48" s="22"/>
      <c r="D48" s="22"/>
      <c r="E48" s="21"/>
      <c r="F48" s="8"/>
      <c r="G48" s="21"/>
      <c r="H48" s="26"/>
    </row>
    <row r="49" spans="1:8" x14ac:dyDescent="0.2">
      <c r="A49" s="20" t="s">
        <v>27</v>
      </c>
      <c r="B49" s="41"/>
      <c r="C49" s="22"/>
      <c r="D49" s="22"/>
      <c r="E49" s="21"/>
      <c r="F49" s="8"/>
      <c r="G49" s="21"/>
      <c r="H49" s="26"/>
    </row>
    <row r="50" spans="1:8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SUM(C50+D50+Jan!E50)</f>
        <v>-134431.12</v>
      </c>
      <c r="F50" s="50"/>
      <c r="G50" s="44">
        <f>B50-E50</f>
        <v>273313.12</v>
      </c>
      <c r="H50" s="46">
        <f>E50/B50</f>
        <v>-0.96795207442289133</v>
      </c>
    </row>
    <row r="51" spans="1:8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SUM(C51+D51+Jan!E51-Jan!D51)</f>
        <v>-134012.5</v>
      </c>
      <c r="F51" s="8"/>
      <c r="G51" s="21">
        <f>B51-E51</f>
        <v>800</v>
      </c>
      <c r="H51" s="26">
        <f>E51/B51</f>
        <v>1.0060054424322042</v>
      </c>
    </row>
    <row r="52" spans="1:8" x14ac:dyDescent="0.2">
      <c r="A52" s="20"/>
      <c r="B52" s="41"/>
      <c r="C52" s="22"/>
      <c r="D52" s="22"/>
      <c r="E52" s="21"/>
      <c r="F52" s="8"/>
      <c r="G52" s="21"/>
      <c r="H52" s="26"/>
    </row>
    <row r="53" spans="1:8" x14ac:dyDescent="0.2">
      <c r="A53" s="20"/>
      <c r="B53" s="41"/>
      <c r="C53" s="22"/>
      <c r="D53" s="22"/>
      <c r="E53" s="20"/>
      <c r="F53" s="5"/>
      <c r="G53" s="20"/>
      <c r="H53" s="26"/>
    </row>
    <row r="54" spans="1:8" x14ac:dyDescent="0.2">
      <c r="A54" s="23" t="s">
        <v>28</v>
      </c>
      <c r="B54" s="41">
        <f>SUM(B14+B18+B22+B30+B34+B38+B42+B46+B50)</f>
        <v>12267524.409999998</v>
      </c>
      <c r="C54" s="22">
        <f>SUM(C14+C18+C22+C26+C30+C34+C38+C42+C46+C50)</f>
        <v>863244.3</v>
      </c>
      <c r="D54" s="22">
        <f>SUM(D14+D18+D22+D30+D34+D38+D42+D46+D50)</f>
        <v>0</v>
      </c>
      <c r="E54" s="22">
        <f>SUM(E14+E18+E22+E26+E30+E34+E38+E42+E46+E50)</f>
        <v>7649939.9900000002</v>
      </c>
      <c r="F54" s="8"/>
      <c r="G54" s="22">
        <f>G14+G18+G22+G30+G34+G52+G38+G26+G42+G46+G50</f>
        <v>4617584.42</v>
      </c>
      <c r="H54" s="26">
        <f>E54/B54</f>
        <v>0.62359280767063918</v>
      </c>
    </row>
    <row r="55" spans="1:8" x14ac:dyDescent="0.2">
      <c r="A55" s="24" t="s">
        <v>29</v>
      </c>
      <c r="B55" s="41">
        <f>SUM(B15+B19+B23+B31+B35+B39+B43+B47+B51+B27)</f>
        <v>-21971384.369999997</v>
      </c>
      <c r="C55" s="22">
        <f>C15+C19+C23+C31+C35+C53+C39+C27+C43+C47+C51</f>
        <v>-2205771.4299999997</v>
      </c>
      <c r="D55" s="22">
        <f>SUM(D15+D23+D43+D27)</f>
        <v>-107026.73</v>
      </c>
      <c r="E55" s="22">
        <f>E15+E19+E23+E31+E35+E53+E39+E43+E47+E51+E27</f>
        <v>-15548432.52</v>
      </c>
      <c r="F55" s="8"/>
      <c r="G55" s="22">
        <f>G15+G19+G23+G31+G35+G53+G39+G27+G43+G47+G51</f>
        <v>-6422951.8500000015</v>
      </c>
      <c r="H55" s="26">
        <f>E55/B55</f>
        <v>0.70766740311684795</v>
      </c>
    </row>
    <row r="56" spans="1:8" x14ac:dyDescent="0.2">
      <c r="A56" s="5"/>
      <c r="B56" s="5"/>
      <c r="C56" s="5"/>
      <c r="D56" s="5"/>
      <c r="E56" s="5"/>
      <c r="F56" s="5"/>
      <c r="G56" s="5"/>
      <c r="H56" s="14"/>
    </row>
    <row r="57" spans="1:8" ht="15" x14ac:dyDescent="0.3">
      <c r="A57" s="105"/>
      <c r="B57" s="105"/>
      <c r="C57" s="105"/>
      <c r="D57" s="105"/>
      <c r="E57" s="105"/>
      <c r="F57" s="105"/>
      <c r="G57" s="105"/>
      <c r="H57" s="105"/>
    </row>
    <row r="58" spans="1:8" x14ac:dyDescent="0.2">
      <c r="A58" s="2" t="s">
        <v>30</v>
      </c>
    </row>
    <row r="60" spans="1:8" x14ac:dyDescent="0.2">
      <c r="A60" s="96"/>
      <c r="B60" s="39" t="s">
        <v>11</v>
      </c>
      <c r="C60" s="39" t="s">
        <v>67</v>
      </c>
      <c r="D60" s="6"/>
      <c r="E60" s="3"/>
      <c r="F60" s="3"/>
      <c r="G60" s="3"/>
      <c r="H60" s="9"/>
    </row>
    <row r="61" spans="1:8" ht="23.25" x14ac:dyDescent="0.35">
      <c r="A61" s="96" t="s">
        <v>32</v>
      </c>
      <c r="B61" s="39" t="s">
        <v>33</v>
      </c>
      <c r="C61" s="39" t="s">
        <v>33</v>
      </c>
      <c r="D61" s="6"/>
      <c r="E61" s="53" t="s">
        <v>77</v>
      </c>
      <c r="F61"/>
      <c r="H61" s="9"/>
    </row>
    <row r="62" spans="1:8" ht="15" x14ac:dyDescent="0.2">
      <c r="A62" s="97" t="s">
        <v>36</v>
      </c>
      <c r="B62" s="52">
        <v>470043.63</v>
      </c>
      <c r="C62" s="52">
        <v>371617.48</v>
      </c>
      <c r="D62" s="8"/>
      <c r="E62"/>
      <c r="G62"/>
      <c r="H62" s="11"/>
    </row>
    <row r="63" spans="1:8" ht="15.75" x14ac:dyDescent="0.25">
      <c r="A63" s="97" t="s">
        <v>38</v>
      </c>
      <c r="B63" s="52">
        <v>199695.95</v>
      </c>
      <c r="C63" s="52">
        <v>54565.36</v>
      </c>
      <c r="D63" s="8"/>
      <c r="E63" s="54" t="s">
        <v>34</v>
      </c>
      <c r="G63" s="54" t="s">
        <v>35</v>
      </c>
      <c r="H63" s="11"/>
    </row>
    <row r="64" spans="1:8" ht="15" x14ac:dyDescent="0.25">
      <c r="A64" s="97" t="s">
        <v>40</v>
      </c>
      <c r="B64" s="52">
        <v>696.72</v>
      </c>
      <c r="C64" s="52">
        <v>444.39</v>
      </c>
      <c r="D64" s="8"/>
      <c r="E64" s="55" t="s">
        <v>37</v>
      </c>
      <c r="G64" s="68">
        <v>17265.64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39</v>
      </c>
      <c r="G65" s="68">
        <v>15801.88</v>
      </c>
      <c r="H65" s="11"/>
    </row>
    <row r="66" spans="1:8" ht="15" x14ac:dyDescent="0.25">
      <c r="A66" s="97" t="s">
        <v>44</v>
      </c>
      <c r="B66" s="52">
        <v>7946</v>
      </c>
      <c r="C66" s="52">
        <v>7847.1</v>
      </c>
      <c r="D66" s="8"/>
      <c r="E66" s="55" t="s">
        <v>41</v>
      </c>
      <c r="G66" s="68">
        <v>298834.34999999998</v>
      </c>
    </row>
    <row r="67" spans="1:8" ht="15" x14ac:dyDescent="0.25">
      <c r="A67" s="98" t="s">
        <v>46</v>
      </c>
      <c r="B67" s="52">
        <v>3606</v>
      </c>
      <c r="C67" s="52">
        <v>3956</v>
      </c>
      <c r="D67" s="8"/>
      <c r="E67" s="55" t="s">
        <v>43</v>
      </c>
      <c r="G67" s="68">
        <v>105758.75</v>
      </c>
      <c r="H67" s="11"/>
    </row>
    <row r="68" spans="1:8" ht="15" x14ac:dyDescent="0.25">
      <c r="A68" s="97" t="s">
        <v>48</v>
      </c>
      <c r="B68" s="52">
        <v>8632.82</v>
      </c>
      <c r="C68" s="52">
        <v>8632.82</v>
      </c>
      <c r="D68" s="8"/>
      <c r="E68" s="55" t="s">
        <v>45</v>
      </c>
      <c r="G68" s="68">
        <v>14766.11</v>
      </c>
      <c r="H68" s="11"/>
    </row>
    <row r="69" spans="1:8" ht="15" x14ac:dyDescent="0.25">
      <c r="A69" s="98" t="s">
        <v>70</v>
      </c>
      <c r="B69" s="52">
        <v>0</v>
      </c>
      <c r="C69" s="52">
        <v>0.03</v>
      </c>
      <c r="D69" s="8"/>
      <c r="E69" s="55" t="s">
        <v>47</v>
      </c>
      <c r="G69" s="68">
        <v>54399.4</v>
      </c>
    </row>
    <row r="70" spans="1:8" ht="15" x14ac:dyDescent="0.25">
      <c r="A70" s="98" t="s">
        <v>71</v>
      </c>
      <c r="B70" s="52">
        <v>0</v>
      </c>
      <c r="C70" s="52">
        <v>176.17</v>
      </c>
      <c r="D70" s="8"/>
      <c r="E70" s="91" t="s">
        <v>52</v>
      </c>
      <c r="G70" s="68">
        <v>7562</v>
      </c>
      <c r="H70" s="11"/>
    </row>
    <row r="71" spans="1:8" ht="15" x14ac:dyDescent="0.25">
      <c r="A71" s="98" t="s">
        <v>78</v>
      </c>
      <c r="B71" s="52">
        <v>63.36</v>
      </c>
      <c r="C71" s="52"/>
      <c r="E71" s="55" t="s">
        <v>51</v>
      </c>
      <c r="G71" s="68">
        <v>108.5</v>
      </c>
    </row>
    <row r="72" spans="1:8" ht="15" x14ac:dyDescent="0.25">
      <c r="A72" s="98"/>
      <c r="B72" s="52"/>
      <c r="C72" s="52"/>
      <c r="E72" s="55" t="s">
        <v>79</v>
      </c>
      <c r="G72" s="68">
        <v>29.52</v>
      </c>
    </row>
    <row r="73" spans="1:8" ht="15" x14ac:dyDescent="0.25">
      <c r="A73" s="98"/>
      <c r="B73" s="52"/>
      <c r="C73" s="52"/>
      <c r="E73" s="55"/>
      <c r="G73" s="68"/>
    </row>
    <row r="74" spans="1:8" ht="15" x14ac:dyDescent="0.25">
      <c r="A74" s="98"/>
      <c r="B74" s="52"/>
      <c r="C74" s="52"/>
      <c r="E74" s="55"/>
      <c r="G74" s="68"/>
    </row>
    <row r="75" spans="1:8" ht="15" x14ac:dyDescent="0.25">
      <c r="A75" s="98"/>
      <c r="B75" s="52"/>
      <c r="C75" s="52"/>
      <c r="E75" s="55"/>
      <c r="G75" s="68"/>
    </row>
    <row r="76" spans="1:8" ht="15" x14ac:dyDescent="0.25">
      <c r="A76" s="98"/>
      <c r="B76" s="52"/>
      <c r="C76" s="52"/>
      <c r="E76" s="55"/>
      <c r="G76" s="68"/>
    </row>
    <row r="77" spans="1:8" ht="16.5" thickBot="1" x14ac:dyDescent="0.3">
      <c r="A77" s="98"/>
      <c r="B77" s="52"/>
      <c r="C77" s="52"/>
      <c r="E77"/>
      <c r="G77" s="57">
        <f>SUM(G64:G76)</f>
        <v>514526.15</v>
      </c>
    </row>
    <row r="78" spans="1:8" ht="13.5" thickTop="1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SUM(B62-B63-B64+B65-B66-B67-B68+B69+B70-B71)</f>
        <v>254502.78000000003</v>
      </c>
      <c r="C79" s="64">
        <f>SUM(C62-C63-C64+C65-C66-C67-C68+C69+C70)</f>
        <v>301448.01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1202787</v>
      </c>
      <c r="C81" s="101">
        <v>260692.06</v>
      </c>
    </row>
    <row r="82" spans="1:3" x14ac:dyDescent="0.2">
      <c r="A82" s="40" t="s">
        <v>58</v>
      </c>
      <c r="B82" s="101">
        <v>493084.06</v>
      </c>
      <c r="C82" s="101">
        <v>1322778.73</v>
      </c>
    </row>
    <row r="83" spans="1:3" x14ac:dyDescent="0.2">
      <c r="A83" s="40" t="s">
        <v>59</v>
      </c>
      <c r="B83" s="101">
        <v>6605994.1399999997</v>
      </c>
      <c r="C83" s="101">
        <v>7997618.79</v>
      </c>
    </row>
    <row r="84" spans="1:3" ht="15" x14ac:dyDescent="0.35">
      <c r="A84" s="42" t="s">
        <v>60</v>
      </c>
      <c r="B84" s="65">
        <f>SUM(B81:B83)</f>
        <v>8301865.1999999993</v>
      </c>
      <c r="C84" s="65">
        <f>SUM(C81:C83)</f>
        <v>9581089.5800000001</v>
      </c>
    </row>
    <row r="85" spans="1:3" x14ac:dyDescent="0.2">
      <c r="A85" s="87"/>
      <c r="B85" s="12"/>
      <c r="C85" s="12"/>
    </row>
    <row r="86" spans="1:3" x14ac:dyDescent="0.2">
      <c r="A86" s="87"/>
      <c r="B86" s="70"/>
      <c r="C86" s="70"/>
    </row>
    <row r="87" spans="1:3" x14ac:dyDescent="0.2">
      <c r="A87" s="88"/>
      <c r="B87" s="84"/>
      <c r="C87" s="84"/>
    </row>
    <row r="88" spans="1:3" x14ac:dyDescent="0.2">
      <c r="A88" s="37"/>
      <c r="B88" s="37"/>
      <c r="C88" s="37"/>
    </row>
    <row r="89" spans="1:3" x14ac:dyDescent="0.2">
      <c r="A89" s="37"/>
      <c r="B89" s="37"/>
      <c r="C89" s="37"/>
    </row>
  </sheetData>
  <mergeCells count="4">
    <mergeCell ref="A57:H57"/>
    <mergeCell ref="A2:H2"/>
    <mergeCell ref="A3:H3"/>
    <mergeCell ref="A4:H4"/>
  </mergeCells>
  <phoneticPr fontId="3" type="noConversion"/>
  <dataValidations count="1">
    <dataValidation showInputMessage="1" showErrorMessage="1" sqref="C6"/>
  </dataValidations>
  <pageMargins left="0.5" right="0.5" top="0.5" bottom="0.5" header="0.5" footer="0.5"/>
  <pageSetup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43" zoomScaleNormal="100" workbookViewId="0">
      <selection activeCell="A57" sqref="A57:C81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9.44140625" style="1" bestFit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5"/>
      <c r="B4" s="15"/>
      <c r="C4" s="5"/>
      <c r="D4" s="5"/>
      <c r="E4" s="5"/>
      <c r="F4" s="5"/>
      <c r="G4" s="5"/>
      <c r="H4" s="14"/>
    </row>
    <row r="5" spans="1:8" x14ac:dyDescent="0.2">
      <c r="A5" s="102"/>
      <c r="B5" s="5"/>
      <c r="C5" s="5"/>
      <c r="D5" s="5"/>
      <c r="E5" s="5"/>
      <c r="F5" s="5"/>
      <c r="G5" s="16" t="s">
        <v>3</v>
      </c>
      <c r="H5" s="34">
        <v>42430</v>
      </c>
    </row>
    <row r="6" spans="1:8" x14ac:dyDescent="0.2">
      <c r="A6" s="17" t="s">
        <v>4</v>
      </c>
      <c r="B6" s="5"/>
      <c r="C6" s="5"/>
      <c r="D6" s="5"/>
      <c r="E6" s="5"/>
      <c r="F6" s="5"/>
      <c r="G6" s="5"/>
      <c r="H6" s="14"/>
    </row>
    <row r="7" spans="1:8" x14ac:dyDescent="0.2">
      <c r="A7" s="5"/>
      <c r="B7" s="5"/>
      <c r="C7" s="5"/>
      <c r="D7" s="5"/>
      <c r="E7" s="5"/>
      <c r="F7" s="5"/>
      <c r="G7" s="5"/>
      <c r="H7" s="14"/>
    </row>
    <row r="8" spans="1:8" x14ac:dyDescent="0.2">
      <c r="A8" s="18" t="s">
        <v>5</v>
      </c>
      <c r="B8" s="19" t="s">
        <v>66</v>
      </c>
      <c r="C8" s="19" t="s">
        <v>7</v>
      </c>
      <c r="D8" s="19" t="s">
        <v>8</v>
      </c>
      <c r="E8" s="19" t="s">
        <v>9</v>
      </c>
      <c r="F8" s="6"/>
      <c r="G8" s="19" t="s">
        <v>10</v>
      </c>
      <c r="H8" s="25" t="s">
        <v>11</v>
      </c>
    </row>
    <row r="9" spans="1:8" x14ac:dyDescent="0.2">
      <c r="A9" s="18"/>
      <c r="B9" s="19" t="s">
        <v>12</v>
      </c>
      <c r="C9" s="19" t="s">
        <v>13</v>
      </c>
      <c r="D9" s="19"/>
      <c r="E9" s="19" t="s">
        <v>13</v>
      </c>
      <c r="F9" s="6"/>
      <c r="G9" s="19" t="s">
        <v>14</v>
      </c>
      <c r="H9" s="25" t="s">
        <v>15</v>
      </c>
    </row>
    <row r="10" spans="1:8" x14ac:dyDescent="0.2">
      <c r="A10" s="20"/>
      <c r="B10" s="20"/>
      <c r="C10" s="20"/>
      <c r="D10" s="20"/>
      <c r="E10" s="20"/>
      <c r="F10" s="5"/>
      <c r="G10" s="20"/>
      <c r="H10" s="26"/>
    </row>
    <row r="11" spans="1:8" x14ac:dyDescent="0.2">
      <c r="A11" s="20" t="s">
        <v>16</v>
      </c>
      <c r="B11" s="21"/>
      <c r="C11" s="21"/>
      <c r="D11" s="21"/>
      <c r="E11" s="21"/>
      <c r="F11" s="7"/>
      <c r="G11" s="21"/>
      <c r="H11" s="26"/>
    </row>
    <row r="12" spans="1:8" x14ac:dyDescent="0.2">
      <c r="A12" s="43" t="s">
        <v>17</v>
      </c>
      <c r="B12" s="44">
        <v>9487519.5700000003</v>
      </c>
      <c r="C12" s="44">
        <v>928846.93</v>
      </c>
      <c r="D12" s="44">
        <v>0</v>
      </c>
      <c r="E12" s="44">
        <f>SUM(D12+C12+Feb!E14)</f>
        <v>9639872.7599999998</v>
      </c>
      <c r="F12" s="45"/>
      <c r="G12" s="44">
        <f>B12-E12</f>
        <v>-152353.18999999948</v>
      </c>
      <c r="H12" s="46">
        <f>E12/B12</f>
        <v>1.0160582741227484</v>
      </c>
    </row>
    <row r="13" spans="1:8" x14ac:dyDescent="0.2">
      <c r="A13" s="20" t="s">
        <v>18</v>
      </c>
      <c r="B13" s="51">
        <v>-9657613.1600000001</v>
      </c>
      <c r="C13" s="21">
        <v>-883702.87</v>
      </c>
      <c r="D13" s="21">
        <v>-19529.900000000001</v>
      </c>
      <c r="E13" s="21">
        <f>SUM(C13+D13+Feb!E15-Feb!D15)</f>
        <v>-6250336.0999999996</v>
      </c>
      <c r="F13" s="7"/>
      <c r="G13" s="21">
        <f>B13-E13</f>
        <v>-3407277.0600000005</v>
      </c>
      <c r="H13" s="26">
        <f>E13/B13</f>
        <v>0.64719263408558392</v>
      </c>
    </row>
    <row r="14" spans="1:8" x14ac:dyDescent="0.2">
      <c r="A14" s="20"/>
      <c r="B14" s="40"/>
      <c r="C14" s="21"/>
      <c r="D14" s="21"/>
      <c r="E14" s="21"/>
      <c r="F14" s="7"/>
      <c r="G14" s="21"/>
      <c r="H14" s="26"/>
    </row>
    <row r="15" spans="1:8" x14ac:dyDescent="0.2">
      <c r="A15" s="20" t="s">
        <v>19</v>
      </c>
      <c r="B15" s="51"/>
      <c r="C15" s="21"/>
      <c r="D15" s="21"/>
      <c r="E15" s="21"/>
      <c r="F15" s="7"/>
      <c r="G15" s="21"/>
      <c r="H15" s="27"/>
    </row>
    <row r="16" spans="1:8" x14ac:dyDescent="0.2">
      <c r="A16" s="43" t="s">
        <v>17</v>
      </c>
      <c r="B16" s="44">
        <v>415476</v>
      </c>
      <c r="C16" s="44">
        <v>49680.41</v>
      </c>
      <c r="D16" s="44">
        <v>0</v>
      </c>
      <c r="E16" s="44">
        <f>SUM(D16+C16+Feb!E18)</f>
        <v>316934.80999999994</v>
      </c>
      <c r="F16" s="45"/>
      <c r="G16" s="44">
        <f>B16-E16</f>
        <v>98541.190000000061</v>
      </c>
      <c r="H16" s="46">
        <f>E16/B16</f>
        <v>0.76282338811387407</v>
      </c>
    </row>
    <row r="17" spans="1:8" x14ac:dyDescent="0.2">
      <c r="A17" s="20" t="s">
        <v>18</v>
      </c>
      <c r="B17" s="51">
        <v>-496531</v>
      </c>
      <c r="C17" s="21">
        <v>-43844.91</v>
      </c>
      <c r="D17" s="21">
        <v>0</v>
      </c>
      <c r="E17" s="21">
        <f>SUM(D17+C17+Feb!E19-Feb!D19)</f>
        <v>-322569.07999999996</v>
      </c>
      <c r="F17" s="7"/>
      <c r="G17" s="21">
        <f>B17-E17</f>
        <v>-173961.92000000004</v>
      </c>
      <c r="H17" s="26">
        <f>E17/B17</f>
        <v>0.64964539978369917</v>
      </c>
    </row>
    <row r="18" spans="1:8" x14ac:dyDescent="0.2">
      <c r="A18" s="20"/>
      <c r="B18" s="51"/>
      <c r="C18" s="21"/>
      <c r="D18" s="21"/>
      <c r="E18" s="21"/>
      <c r="F18" s="7"/>
      <c r="G18" s="21"/>
      <c r="H18" s="26"/>
    </row>
    <row r="19" spans="1:8" x14ac:dyDescent="0.2">
      <c r="A19" s="20" t="s">
        <v>20</v>
      </c>
      <c r="B19" s="51"/>
      <c r="C19" s="21"/>
      <c r="D19" s="21"/>
      <c r="E19" s="21"/>
      <c r="F19" s="7"/>
      <c r="G19" s="21"/>
      <c r="H19" s="26"/>
    </row>
    <row r="20" spans="1:8" x14ac:dyDescent="0.2">
      <c r="A20" s="43" t="s">
        <v>17</v>
      </c>
      <c r="B20" s="44">
        <v>269746</v>
      </c>
      <c r="C20" s="44">
        <v>54091.61</v>
      </c>
      <c r="D20" s="44">
        <v>0</v>
      </c>
      <c r="E20" s="44">
        <f>SUM(D20+C20+Feb!E22)</f>
        <v>97120.57</v>
      </c>
      <c r="F20" s="45"/>
      <c r="G20" s="44">
        <f>B20-E20</f>
        <v>172625.43</v>
      </c>
      <c r="H20" s="46">
        <f>E20/B20</f>
        <v>0.36004452336642623</v>
      </c>
    </row>
    <row r="21" spans="1:8" x14ac:dyDescent="0.2">
      <c r="A21" s="20" t="s">
        <v>18</v>
      </c>
      <c r="B21" s="51">
        <v>-260038.5</v>
      </c>
      <c r="C21" s="21">
        <v>-7655.63</v>
      </c>
      <c r="D21" s="21">
        <v>-64.47</v>
      </c>
      <c r="E21" s="21">
        <f>SUM(C21+D21+Feb!E23-Feb!D23)</f>
        <v>-160804.06000000003</v>
      </c>
      <c r="F21" s="7"/>
      <c r="G21" s="21">
        <f>B21-E21</f>
        <v>-99234.439999999973</v>
      </c>
      <c r="H21" s="26">
        <f>E21/B21</f>
        <v>0.61838558521142073</v>
      </c>
    </row>
    <row r="22" spans="1:8" x14ac:dyDescent="0.2">
      <c r="A22" s="20"/>
      <c r="B22" s="51"/>
      <c r="C22" s="21"/>
      <c r="D22" s="21"/>
      <c r="E22" s="21"/>
      <c r="F22" s="7"/>
      <c r="G22" s="21"/>
      <c r="H22" s="26"/>
    </row>
    <row r="23" spans="1:8" x14ac:dyDescent="0.2">
      <c r="A23" s="20" t="s">
        <v>21</v>
      </c>
      <c r="B23" s="51"/>
      <c r="C23" s="22"/>
      <c r="D23" s="22"/>
      <c r="E23" s="21"/>
      <c r="F23" s="8"/>
      <c r="G23" s="21"/>
      <c r="H23" s="26"/>
    </row>
    <row r="24" spans="1:8" x14ac:dyDescent="0.2">
      <c r="A24" s="43" t="s">
        <v>17</v>
      </c>
      <c r="B24" s="44">
        <v>0</v>
      </c>
      <c r="C24" s="49">
        <v>-1911.73</v>
      </c>
      <c r="D24" s="49">
        <v>0</v>
      </c>
      <c r="E24" s="44">
        <f>SUM(C24+D24+Feb!E26)</f>
        <v>54284.1</v>
      </c>
      <c r="F24" s="50"/>
      <c r="G24" s="44">
        <f>B24-E24</f>
        <v>-54284.1</v>
      </c>
      <c r="H24" s="46" t="e">
        <f>E24/B24</f>
        <v>#DIV/0!</v>
      </c>
    </row>
    <row r="25" spans="1:8" x14ac:dyDescent="0.2">
      <c r="A25" s="20" t="s">
        <v>18</v>
      </c>
      <c r="B25" s="51">
        <v>-9713618</v>
      </c>
      <c r="C25" s="22">
        <v>-514675.63</v>
      </c>
      <c r="D25" s="22">
        <v>-80548</v>
      </c>
      <c r="E25" s="21">
        <f>SUM(C25+D25+Feb!E27-Feb!D27)</f>
        <v>-8095659.7199999988</v>
      </c>
      <c r="F25" s="8"/>
      <c r="G25" s="21">
        <f>B25-E25</f>
        <v>-1617958.2800000012</v>
      </c>
      <c r="H25" s="26">
        <f>E25/B25</f>
        <v>0.83343402221499741</v>
      </c>
    </row>
    <row r="26" spans="1:8" x14ac:dyDescent="0.2">
      <c r="A26" s="20"/>
      <c r="B26" s="51"/>
      <c r="C26" s="22"/>
      <c r="D26" s="22"/>
      <c r="E26" s="21"/>
      <c r="F26" s="8"/>
      <c r="G26" s="21"/>
      <c r="H26" s="26"/>
    </row>
    <row r="27" spans="1:8" x14ac:dyDescent="0.2">
      <c r="A27" s="20" t="s">
        <v>22</v>
      </c>
      <c r="B27" s="41"/>
      <c r="C27" s="22"/>
      <c r="D27" s="22"/>
      <c r="E27" s="21"/>
      <c r="F27" s="8"/>
      <c r="G27" s="21"/>
      <c r="H27" s="26"/>
    </row>
    <row r="28" spans="1:8" x14ac:dyDescent="0.2">
      <c r="A28" s="43" t="s">
        <v>17</v>
      </c>
      <c r="B28" s="49">
        <v>1988305</v>
      </c>
      <c r="C28" s="49">
        <v>2298.14</v>
      </c>
      <c r="D28" s="49">
        <v>0</v>
      </c>
      <c r="E28" s="44">
        <f>SUM(C28+D28+Feb!E30)</f>
        <v>-1409519.5000000002</v>
      </c>
      <c r="F28" s="50"/>
      <c r="G28" s="44">
        <f>B28-E28</f>
        <v>3397824.5</v>
      </c>
      <c r="H28" s="46">
        <f>E28/B28</f>
        <v>-0.70890507241092304</v>
      </c>
    </row>
    <row r="29" spans="1:8" x14ac:dyDescent="0.2">
      <c r="A29" s="20" t="s">
        <v>18</v>
      </c>
      <c r="B29" s="41">
        <v>-1893894</v>
      </c>
      <c r="C29" s="22">
        <v>0</v>
      </c>
      <c r="D29" s="22">
        <v>0</v>
      </c>
      <c r="E29" s="21">
        <f>SUM(D29+C29+Feb!E31-Feb!D31)</f>
        <v>-1894420</v>
      </c>
      <c r="F29" s="8"/>
      <c r="G29" s="21">
        <f>B29-E29</f>
        <v>526</v>
      </c>
      <c r="H29" s="26">
        <f>E29/B29</f>
        <v>1.0002777346567442</v>
      </c>
    </row>
    <row r="30" spans="1:8" x14ac:dyDescent="0.2">
      <c r="A30" s="20"/>
      <c r="B30" s="41"/>
      <c r="C30" s="22"/>
      <c r="D30" s="22"/>
      <c r="E30" s="21"/>
      <c r="F30" s="8"/>
      <c r="G30" s="21"/>
      <c r="H30" s="26"/>
    </row>
    <row r="31" spans="1:8" x14ac:dyDescent="0.2">
      <c r="A31" s="20" t="s">
        <v>23</v>
      </c>
      <c r="B31" s="41"/>
      <c r="C31" s="22"/>
      <c r="D31" s="22"/>
      <c r="E31" s="21"/>
      <c r="F31" s="8"/>
      <c r="G31" s="21"/>
      <c r="H31" s="26"/>
    </row>
    <row r="32" spans="1:8" x14ac:dyDescent="0.2">
      <c r="A32" s="43" t="s">
        <v>17</v>
      </c>
      <c r="B32" s="49">
        <v>10800</v>
      </c>
      <c r="C32" s="49">
        <v>3530.13</v>
      </c>
      <c r="D32" s="49">
        <v>0</v>
      </c>
      <c r="E32" s="44">
        <f>SUM(C32+D32+Feb!E34)</f>
        <v>15072.689999999999</v>
      </c>
      <c r="F32" s="50"/>
      <c r="G32" s="44">
        <f>B32-E32</f>
        <v>-4272.6899999999987</v>
      </c>
      <c r="H32" s="46">
        <f>E32/B32</f>
        <v>1.3956194444444443</v>
      </c>
    </row>
    <row r="33" spans="1:8" x14ac:dyDescent="0.2">
      <c r="A33" s="20" t="s">
        <v>18</v>
      </c>
      <c r="B33" s="41">
        <v>-10800</v>
      </c>
      <c r="C33" s="22">
        <v>0</v>
      </c>
      <c r="D33" s="22">
        <v>0</v>
      </c>
      <c r="E33" s="21">
        <f>SUM(Mar!D33+Mar!C33+Feb!E35-Feb!D35)</f>
        <v>-10700</v>
      </c>
      <c r="F33" s="8"/>
      <c r="G33" s="21">
        <f>B33-E33</f>
        <v>-100</v>
      </c>
      <c r="H33" s="26">
        <f>E33/B33</f>
        <v>0.9907407407407407</v>
      </c>
    </row>
    <row r="34" spans="1:8" x14ac:dyDescent="0.2">
      <c r="A34" s="20"/>
      <c r="B34" s="41"/>
      <c r="C34" s="22"/>
      <c r="D34" s="22"/>
      <c r="E34" s="21"/>
      <c r="F34" s="8"/>
      <c r="G34" s="21"/>
      <c r="H34" s="26"/>
    </row>
    <row r="35" spans="1:8" x14ac:dyDescent="0.2">
      <c r="A35" s="20" t="s">
        <v>24</v>
      </c>
      <c r="B35" s="41"/>
      <c r="C35" s="41"/>
      <c r="D35" s="41"/>
      <c r="E35" s="51"/>
      <c r="F35" s="36"/>
      <c r="G35" s="51"/>
      <c r="H35" s="66"/>
    </row>
    <row r="36" spans="1:8" x14ac:dyDescent="0.2">
      <c r="A36" s="43" t="s">
        <v>17</v>
      </c>
      <c r="B36" s="49">
        <v>10833</v>
      </c>
      <c r="C36" s="49">
        <v>0</v>
      </c>
      <c r="D36" s="49">
        <v>0</v>
      </c>
      <c r="E36" s="44">
        <f>SUM(C36+D36+Feb!E38)</f>
        <v>0</v>
      </c>
      <c r="F36" s="50"/>
      <c r="G36" s="44">
        <f>B36-E36</f>
        <v>10833</v>
      </c>
      <c r="H36" s="46">
        <f>E36/B36</f>
        <v>0</v>
      </c>
    </row>
    <row r="37" spans="1:8" x14ac:dyDescent="0.2">
      <c r="A37" s="20" t="s">
        <v>18</v>
      </c>
      <c r="B37" s="41">
        <v>-10835</v>
      </c>
      <c r="C37" s="22">
        <v>-6319.66</v>
      </c>
      <c r="D37" s="22">
        <v>0</v>
      </c>
      <c r="E37" s="21">
        <f>SUM(C37+D37+Feb!E39-Feb!D39)</f>
        <v>-6319.66</v>
      </c>
      <c r="F37" s="8"/>
      <c r="G37" s="21">
        <f>B37-E37</f>
        <v>-4515.34</v>
      </c>
      <c r="H37" s="26">
        <f>E37/B37</f>
        <v>0.58326349792339638</v>
      </c>
    </row>
    <row r="38" spans="1:8" x14ac:dyDescent="0.2">
      <c r="A38" s="20"/>
      <c r="B38" s="41"/>
      <c r="C38" s="22"/>
      <c r="D38" s="22"/>
      <c r="E38" s="21"/>
      <c r="F38" s="8"/>
      <c r="G38" s="21"/>
      <c r="H38" s="26"/>
    </row>
    <row r="39" spans="1:8" x14ac:dyDescent="0.2">
      <c r="A39" s="20" t="s">
        <v>25</v>
      </c>
      <c r="B39" s="41"/>
      <c r="C39" s="22"/>
      <c r="D39" s="22"/>
      <c r="E39" s="21"/>
      <c r="F39" s="8"/>
      <c r="G39" s="21"/>
      <c r="H39" s="26"/>
    </row>
    <row r="40" spans="1:8" x14ac:dyDescent="0.2">
      <c r="A40" s="43" t="s">
        <v>17</v>
      </c>
      <c r="B40" s="49">
        <v>95805.37</v>
      </c>
      <c r="C40" s="49">
        <v>27956.400000000001</v>
      </c>
      <c r="D40" s="49">
        <v>0</v>
      </c>
      <c r="E40" s="44">
        <f>SUM(C40+D40+Feb!E42)</f>
        <v>134176.70000000001</v>
      </c>
      <c r="F40" s="50"/>
      <c r="G40" s="44">
        <f>B40-E40</f>
        <v>-38371.330000000016</v>
      </c>
      <c r="H40" s="46">
        <f>E40/B40</f>
        <v>1.4005133532702814</v>
      </c>
    </row>
    <row r="41" spans="1:8" x14ac:dyDescent="0.2">
      <c r="A41" s="20" t="s">
        <v>18</v>
      </c>
      <c r="B41" s="41">
        <v>-95805.37</v>
      </c>
      <c r="C41" s="22">
        <v>-24764.73</v>
      </c>
      <c r="D41" s="22">
        <v>-2246.8000000000002</v>
      </c>
      <c r="E41" s="21">
        <f>SUM(C41+D41+Feb!E43-Feb!D43)</f>
        <v>-127436.06999999998</v>
      </c>
      <c r="F41" s="8"/>
      <c r="G41" s="21">
        <f>B41-E41</f>
        <v>31630.699999999983</v>
      </c>
      <c r="H41" s="26">
        <f>E41/B41</f>
        <v>1.3301558148567245</v>
      </c>
    </row>
    <row r="42" spans="1:8" x14ac:dyDescent="0.2">
      <c r="A42" s="20"/>
      <c r="B42" s="41"/>
      <c r="C42" s="22"/>
      <c r="D42" s="22"/>
      <c r="E42" s="21"/>
      <c r="F42" s="8"/>
      <c r="G42" s="21"/>
      <c r="H42" s="26"/>
    </row>
    <row r="43" spans="1:8" x14ac:dyDescent="0.2">
      <c r="A43" s="20" t="s">
        <v>26</v>
      </c>
      <c r="B43" s="41"/>
      <c r="C43" s="22"/>
      <c r="D43" s="22"/>
      <c r="E43" s="21"/>
      <c r="F43" s="8"/>
      <c r="G43" s="21"/>
      <c r="H43" s="26"/>
    </row>
    <row r="44" spans="1:8" x14ac:dyDescent="0.2">
      <c r="A44" s="43" t="s">
        <v>17</v>
      </c>
      <c r="B44" s="49">
        <v>6700</v>
      </c>
      <c r="C44" s="49">
        <v>3.38</v>
      </c>
      <c r="D44" s="49">
        <v>0</v>
      </c>
      <c r="E44" s="44">
        <f>SUM(C44+D44+Feb!E46)</f>
        <v>924.25000000000011</v>
      </c>
      <c r="F44" s="50"/>
      <c r="G44" s="44">
        <f>B44-E44</f>
        <v>5775.75</v>
      </c>
      <c r="H44" s="46">
        <f>E44/B44</f>
        <v>0.13794776119402988</v>
      </c>
    </row>
    <row r="45" spans="1:8" x14ac:dyDescent="0.2">
      <c r="A45" s="20" t="s">
        <v>18</v>
      </c>
      <c r="B45" s="41">
        <v>-74979</v>
      </c>
      <c r="C45" s="22">
        <v>0</v>
      </c>
      <c r="D45" s="22">
        <v>0</v>
      </c>
      <c r="E45" s="21">
        <f>SUM(D45+C45+Feb!E47-Feb!D47)</f>
        <v>-22501.200000000001</v>
      </c>
      <c r="F45" s="8"/>
      <c r="G45" s="21">
        <f>B45-E45</f>
        <v>-52477.8</v>
      </c>
      <c r="H45" s="26">
        <f>E45/B45</f>
        <v>0.30010002800784219</v>
      </c>
    </row>
    <row r="46" spans="1:8" x14ac:dyDescent="0.2">
      <c r="A46" s="20"/>
      <c r="B46" s="41"/>
      <c r="C46" s="22"/>
      <c r="D46" s="22"/>
      <c r="E46" s="21"/>
      <c r="F46" s="8"/>
      <c r="G46" s="21"/>
      <c r="H46" s="26"/>
    </row>
    <row r="47" spans="1:8" x14ac:dyDescent="0.2">
      <c r="A47" s="20" t="s">
        <v>27</v>
      </c>
      <c r="B47" s="41"/>
      <c r="C47" s="22"/>
      <c r="D47" s="22"/>
      <c r="E47" s="20"/>
      <c r="F47" s="5"/>
      <c r="G47" s="20"/>
      <c r="H47" s="26"/>
    </row>
    <row r="48" spans="1:8" x14ac:dyDescent="0.2">
      <c r="A48" s="43" t="s">
        <v>17</v>
      </c>
      <c r="B48" s="49">
        <v>138882</v>
      </c>
      <c r="C48" s="49">
        <v>0</v>
      </c>
      <c r="D48" s="49">
        <v>0</v>
      </c>
      <c r="E48" s="49">
        <f>SUM(D48+C48+Feb!E50)</f>
        <v>-134431.12</v>
      </c>
      <c r="F48" s="50"/>
      <c r="G48" s="49">
        <f>SUM(B48-E48)</f>
        <v>273313.12</v>
      </c>
      <c r="H48" s="46">
        <f>E48/B48</f>
        <v>-0.96795207442289133</v>
      </c>
    </row>
    <row r="49" spans="1:8" x14ac:dyDescent="0.2">
      <c r="A49" s="20" t="s">
        <v>18</v>
      </c>
      <c r="B49" s="41">
        <v>-133212.5</v>
      </c>
      <c r="C49" s="22">
        <v>-750</v>
      </c>
      <c r="D49" s="22">
        <v>0</v>
      </c>
      <c r="E49" s="22">
        <f>SUM(D49+C49+Feb!E51-Feb!D51)</f>
        <v>-134762.5</v>
      </c>
      <c r="F49" s="8"/>
      <c r="G49" s="22">
        <f>SUM(B49-E49)</f>
        <v>1550</v>
      </c>
      <c r="H49" s="26">
        <f>E49/B49</f>
        <v>1.0116355447123957</v>
      </c>
    </row>
    <row r="50" spans="1:8" x14ac:dyDescent="0.2">
      <c r="A50" s="20"/>
      <c r="B50" s="41"/>
      <c r="C50" s="22"/>
      <c r="D50" s="22"/>
      <c r="E50" s="22"/>
      <c r="F50" s="8"/>
      <c r="G50" s="22"/>
      <c r="H50" s="26"/>
    </row>
    <row r="51" spans="1:8" x14ac:dyDescent="0.2">
      <c r="A51" s="48" t="s">
        <v>28</v>
      </c>
      <c r="B51" s="49">
        <f>SUM(B12+B16+B20+B24+B28+B32+B36+B40+B44+B48)</f>
        <v>12424066.939999999</v>
      </c>
      <c r="C51" s="49">
        <f>SUM(C12+C16+C20+C24+C28+C32+C36+C40+C44)</f>
        <v>1064495.27</v>
      </c>
      <c r="D51" s="49">
        <f>SUM(D10+D14+D18+D26+D30+D34+D38+D42+D46)</f>
        <v>0</v>
      </c>
      <c r="E51" s="49">
        <f>SUM(E12+E16+E20+E24+E28+E32+E36+E40+E44+E48)</f>
        <v>8714435.2599999998</v>
      </c>
      <c r="F51" s="50"/>
      <c r="G51" s="49">
        <f>SUM(G12+G16+G20+G24+G28+G32+G36+G40+G44+G48)</f>
        <v>3709631.6800000006</v>
      </c>
      <c r="H51" s="46">
        <f>E51/B51</f>
        <v>0.70141567186372544</v>
      </c>
    </row>
    <row r="52" spans="1:8" x14ac:dyDescent="0.2">
      <c r="A52" s="24" t="s">
        <v>29</v>
      </c>
      <c r="B52" s="22">
        <f>SUM(B13+B17+B21++B25+B29+B33+B37+B41+B45+B49)</f>
        <v>-22347326.530000001</v>
      </c>
      <c r="C52" s="22">
        <f>SUM(C13+C17+C21+C25+C29+C33+C37+C41+C45+C49)</f>
        <v>-1481713.43</v>
      </c>
      <c r="D52" s="22">
        <f>SUM(D13+D17+D21+D25+D29+D33+D37+D41+D45+D49)</f>
        <v>-102389.17</v>
      </c>
      <c r="E52" s="22">
        <f>SUM(E13+E17+E21+E25+E29+E33+E37+E41+E45+E49)</f>
        <v>-17025508.389999997</v>
      </c>
      <c r="F52" s="8"/>
      <c r="G52" s="22">
        <f>SUM(G13+G17+G21+G25+G29+G33+G37+G41+G45+G49)</f>
        <v>-5321818.1400000006</v>
      </c>
      <c r="H52" s="26">
        <f>E52/B52</f>
        <v>0.76185884549296001</v>
      </c>
    </row>
    <row r="53" spans="1:8" x14ac:dyDescent="0.2">
      <c r="A53" s="2" t="s">
        <v>30</v>
      </c>
    </row>
    <row r="54" spans="1:8" ht="16.5" thickBot="1" x14ac:dyDescent="0.3">
      <c r="E54" s="89" t="s">
        <v>80</v>
      </c>
    </row>
    <row r="55" spans="1:8" ht="16.5" thickTop="1" x14ac:dyDescent="0.25">
      <c r="A55" s="2" t="s">
        <v>30</v>
      </c>
      <c r="D55" s="6"/>
      <c r="E55" s="54" t="s">
        <v>34</v>
      </c>
      <c r="G55" s="54" t="s">
        <v>35</v>
      </c>
      <c r="H55" s="9"/>
    </row>
    <row r="56" spans="1:8" ht="15" x14ac:dyDescent="0.25">
      <c r="D56" s="6"/>
      <c r="E56" s="55" t="s">
        <v>37</v>
      </c>
      <c r="G56" s="68">
        <v>17266.14</v>
      </c>
      <c r="H56" s="9"/>
    </row>
    <row r="57" spans="1:8" ht="15" x14ac:dyDescent="0.25">
      <c r="A57" s="96"/>
      <c r="B57" s="39" t="s">
        <v>11</v>
      </c>
      <c r="C57" s="39" t="s">
        <v>67</v>
      </c>
      <c r="D57" s="8"/>
      <c r="E57" s="55" t="s">
        <v>39</v>
      </c>
      <c r="G57" s="68">
        <v>16355.43</v>
      </c>
      <c r="H57" s="11"/>
    </row>
    <row r="58" spans="1:8" ht="15" x14ac:dyDescent="0.25">
      <c r="A58" s="96" t="s">
        <v>32</v>
      </c>
      <c r="B58" s="39" t="s">
        <v>33</v>
      </c>
      <c r="C58" s="39" t="s">
        <v>33</v>
      </c>
      <c r="D58" s="8"/>
      <c r="E58" s="55" t="s">
        <v>41</v>
      </c>
      <c r="G58" s="68">
        <v>309933.34999999998</v>
      </c>
      <c r="H58" s="11"/>
    </row>
    <row r="59" spans="1:8" ht="15" x14ac:dyDescent="0.25">
      <c r="A59" s="97" t="s">
        <v>36</v>
      </c>
      <c r="B59" s="52">
        <v>427607.07</v>
      </c>
      <c r="C59" s="52">
        <v>470043.63</v>
      </c>
      <c r="D59" s="8"/>
      <c r="E59" s="55" t="s">
        <v>43</v>
      </c>
      <c r="G59" s="68">
        <v>121811.76</v>
      </c>
      <c r="H59" s="11"/>
    </row>
    <row r="60" spans="1:8" ht="15" x14ac:dyDescent="0.25">
      <c r="A60" s="97" t="s">
        <v>38</v>
      </c>
      <c r="B60" s="52">
        <v>87885.99</v>
      </c>
      <c r="C60" s="52">
        <v>199695.95</v>
      </c>
      <c r="D60" s="8"/>
      <c r="E60" s="55" t="s">
        <v>45</v>
      </c>
      <c r="G60" s="68">
        <v>18529.57</v>
      </c>
      <c r="H60" s="11"/>
    </row>
    <row r="61" spans="1:8" ht="15" x14ac:dyDescent="0.25">
      <c r="A61" s="97" t="s">
        <v>40</v>
      </c>
      <c r="B61" s="52">
        <v>10746.47</v>
      </c>
      <c r="C61" s="52">
        <v>696.72</v>
      </c>
      <c r="D61" s="8"/>
      <c r="E61" s="55" t="s">
        <v>47</v>
      </c>
      <c r="G61" s="68">
        <v>62186.96</v>
      </c>
    </row>
    <row r="62" spans="1:8" ht="15" x14ac:dyDescent="0.25">
      <c r="A62" s="97" t="s">
        <v>42</v>
      </c>
      <c r="B62" s="52">
        <v>5100</v>
      </c>
      <c r="C62" s="52">
        <v>5100</v>
      </c>
      <c r="D62" s="8"/>
      <c r="E62" s="55" t="s">
        <v>81</v>
      </c>
      <c r="G62" s="68">
        <v>750</v>
      </c>
      <c r="H62" s="11"/>
    </row>
    <row r="63" spans="1:8" ht="15" x14ac:dyDescent="0.25">
      <c r="A63" s="97" t="s">
        <v>44</v>
      </c>
      <c r="B63" s="52">
        <v>8308.84</v>
      </c>
      <c r="C63" s="52">
        <v>7946</v>
      </c>
      <c r="D63" s="8"/>
      <c r="E63" s="55" t="s">
        <v>52</v>
      </c>
      <c r="G63" s="68">
        <v>7212</v>
      </c>
      <c r="H63" s="11"/>
    </row>
    <row r="64" spans="1:8" ht="15" x14ac:dyDescent="0.25">
      <c r="A64" s="98" t="s">
        <v>46</v>
      </c>
      <c r="B64" s="52">
        <v>3606</v>
      </c>
      <c r="C64" s="52">
        <v>3606</v>
      </c>
      <c r="D64" s="8"/>
      <c r="E64" s="91" t="s">
        <v>82</v>
      </c>
      <c r="G64" s="1">
        <v>78.599999999999994</v>
      </c>
    </row>
    <row r="65" spans="1:8" ht="15" x14ac:dyDescent="0.25">
      <c r="A65" s="97" t="s">
        <v>48</v>
      </c>
      <c r="B65" s="52">
        <v>8587.7000000000007</v>
      </c>
      <c r="C65" s="52">
        <v>8632.82</v>
      </c>
      <c r="D65" s="8"/>
      <c r="E65" s="55"/>
      <c r="G65" s="68"/>
      <c r="H65" s="11"/>
    </row>
    <row r="66" spans="1:8" ht="15" x14ac:dyDescent="0.25">
      <c r="A66" s="98" t="s">
        <v>70</v>
      </c>
      <c r="B66" s="52">
        <v>0</v>
      </c>
      <c r="C66" s="52">
        <v>0</v>
      </c>
      <c r="D66" s="8"/>
      <c r="E66" s="55"/>
      <c r="G66" s="68"/>
    </row>
    <row r="67" spans="1:8" ht="16.5" thickBot="1" x14ac:dyDescent="0.3">
      <c r="A67" s="98" t="s">
        <v>71</v>
      </c>
      <c r="B67" s="52">
        <v>0</v>
      </c>
      <c r="C67" s="52">
        <v>0</v>
      </c>
      <c r="D67" s="8"/>
      <c r="E67"/>
      <c r="G67" s="57">
        <f>SUM(G56:G66)</f>
        <v>554123.80999999994</v>
      </c>
    </row>
    <row r="68" spans="1:8" ht="13.5" thickTop="1" x14ac:dyDescent="0.2">
      <c r="A68" s="98" t="s">
        <v>78</v>
      </c>
      <c r="B68" s="52"/>
      <c r="C68" s="52">
        <v>63.36</v>
      </c>
    </row>
    <row r="69" spans="1:8" x14ac:dyDescent="0.2">
      <c r="A69" s="98"/>
      <c r="B69" s="52"/>
      <c r="C69" s="52"/>
    </row>
    <row r="70" spans="1:8" x14ac:dyDescent="0.2">
      <c r="A70" s="98"/>
      <c r="B70" s="52"/>
      <c r="C70" s="52"/>
    </row>
    <row r="71" spans="1:8" x14ac:dyDescent="0.2">
      <c r="A71" s="98"/>
      <c r="B71" s="52"/>
      <c r="C71" s="52"/>
    </row>
    <row r="72" spans="1:8" x14ac:dyDescent="0.2">
      <c r="A72" s="98"/>
      <c r="B72" s="52"/>
      <c r="C72" s="52"/>
    </row>
    <row r="73" spans="1:8" x14ac:dyDescent="0.2">
      <c r="A73" s="98"/>
      <c r="B73" s="52"/>
      <c r="C73" s="52"/>
    </row>
    <row r="74" spans="1:8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9" t="s">
        <v>55</v>
      </c>
      <c r="B76" s="64">
        <f>SUM(B59-B60-B61+B62-B63-B64-B65+B66+B67-B68)</f>
        <v>313572.07</v>
      </c>
      <c r="C76" s="64">
        <f>SUM(C59-C60-C61+C62-C63-C64-C65+C66+C67-C68)</f>
        <v>254502.78000000003</v>
      </c>
    </row>
    <row r="77" spans="1:8" x14ac:dyDescent="0.2">
      <c r="A77" s="38" t="s">
        <v>56</v>
      </c>
      <c r="B77" s="52"/>
      <c r="C77" s="52"/>
    </row>
    <row r="78" spans="1:8" x14ac:dyDescent="0.2">
      <c r="A78" s="40" t="s">
        <v>57</v>
      </c>
      <c r="B78" s="101">
        <v>302981.18</v>
      </c>
      <c r="C78" s="101">
        <v>1202787</v>
      </c>
    </row>
    <row r="79" spans="1:8" x14ac:dyDescent="0.2">
      <c r="A79" s="40" t="s">
        <v>58</v>
      </c>
      <c r="B79" s="101">
        <v>1418639.15</v>
      </c>
      <c r="C79" s="101">
        <v>493084.06</v>
      </c>
    </row>
    <row r="80" spans="1:8" x14ac:dyDescent="0.2">
      <c r="A80" s="40" t="s">
        <v>59</v>
      </c>
      <c r="B80" s="101">
        <v>6093581.7800000003</v>
      </c>
      <c r="C80" s="101">
        <v>6605994.1399999997</v>
      </c>
    </row>
    <row r="81" spans="1:3" ht="15" x14ac:dyDescent="0.35">
      <c r="A81" s="42" t="s">
        <v>60</v>
      </c>
      <c r="B81" s="65">
        <f>SUM(B78:B80)</f>
        <v>7815202.1100000003</v>
      </c>
      <c r="C81" s="65">
        <f>SUM(C78:C80)</f>
        <v>8301865.1999999993</v>
      </c>
    </row>
    <row r="82" spans="1:3" x14ac:dyDescent="0.2">
      <c r="A82" s="87"/>
      <c r="B82" s="12"/>
      <c r="C82" s="12"/>
    </row>
    <row r="83" spans="1:3" x14ac:dyDescent="0.2">
      <c r="A83" s="87"/>
      <c r="B83" s="70"/>
      <c r="C83" s="70"/>
    </row>
  </sheetData>
  <mergeCells count="2">
    <mergeCell ref="A2:H2"/>
    <mergeCell ref="A3:H3"/>
  </mergeCells>
  <dataValidations count="1">
    <dataValidation showInputMessage="1" showErrorMessage="1" sqref="C4"/>
  </dataValidations>
  <pageMargins left="0.5" right="0.5" top="0.5" bottom="0.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July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July 2016</vt:lpstr>
      <vt:lpstr>August 2016</vt:lpstr>
      <vt:lpstr>Sept 2016</vt:lpstr>
      <vt:lpstr>Oct 2016 </vt:lpstr>
      <vt:lpstr>Nov 2016  </vt:lpstr>
      <vt:lpstr>_ZZ5</vt:lpstr>
      <vt:lpstr>July!Print_Area</vt:lpstr>
    </vt:vector>
  </TitlesOfParts>
  <Manager/>
  <Company>PPPS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</dc:creator>
  <cp:keywords/>
  <dc:description/>
  <cp:lastModifiedBy>Winjum, Stephanie</cp:lastModifiedBy>
  <cp:revision/>
  <dcterms:created xsi:type="dcterms:W3CDTF">2001-07-31T13:46:24Z</dcterms:created>
  <dcterms:modified xsi:type="dcterms:W3CDTF">2016-12-13T16:06:32Z</dcterms:modified>
  <cp:category/>
  <cp:contentStatus/>
</cp:coreProperties>
</file>